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<sst xmlns="http://schemas.openxmlformats.org/spreadsheetml/2006/main" count="136" uniqueCount="132">
  <si>
    <t>(STATE MONIES ONLY)</t>
  </si>
  <si>
    <t>COUNTY</t>
  </si>
  <si>
    <t>AMOUNT DELINQUENT</t>
  </si>
  <si>
    <t>DELINQUENT %</t>
  </si>
  <si>
    <t>TOTAL STATE AMOUNT DELINQUENT</t>
  </si>
  <si>
    <t>TOTAL STATE DELINQUENT %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</si>
  <si>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</si>
  <si>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</si>
  <si>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</si>
  <si>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</si>
  <si>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</si>
  <si>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</si>
  <si>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</si>
  <si>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</si>
  <si>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</si>
  <si>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</si>
  <si>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</si>
  <si>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</si>
  <si>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</si>
  <si>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</si>
  <si>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</si>
  <si>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</si>
  <si>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</si>
  <si>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</si>
  <si>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</si>
  <si>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</si>
  <si>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</si>
  <si>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</si>
  <si>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</si>
  <si>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</si>
  <si>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</si>
  <si>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</si>
  <si>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</si>
  <si>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</si>
  <si>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</si>
  <si>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</si>
  <si>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</si>
  <si>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</si>
  <si>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</si>
  <si>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</si>
  <si>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</si>
  <si>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</si>
  <si>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</si>
  <si>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</si>
  <si>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</si>
  <si>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</si>
  <si>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</si>
  <si>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</si>
  <si>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</si>
  <si>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</si>
  <si>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</si>
  <si>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</si>
  <si>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</si>
  <si>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</si>
  <si>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</si>
  <si>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</si>
  <si>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</si>
  <si>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</si>
  <si>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</si>
  <si>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</si>
  <si>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</si>
  <si>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</si>
  <si>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</si>
  <si>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</si>
  <si>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</si>
  <si>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</si>
  <si>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</si>
  <si>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</si>
  <si>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</si>
  <si>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</si>
  <si>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</si>
  <si>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</si>
  <si>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</si>
  <si>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</si>
  <si>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</si>
  <si>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</si>
  <si>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</si>
  <si>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</si>
  <si>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MADISON</t>
  </si>
  <si>
    <t>MAGOFFIN</t>
  </si>
  <si>
    <t>MARION</t>
  </si>
  <si>
    <t>MARSHALL</t>
  </si>
  <si>
    <t>MARTIN</t>
  </si>
  <si>
    <t>MASON</t>
  </si>
  <si>
    <t>MCCRACKEN</t>
  </si>
  <si>
    <t>MCCREARY</t>
  </si>
  <si>
    <t>MCLEAN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</si>
  <si>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</si>
  <si>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</si>
  <si>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</si>
  <si>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</si>
  <si>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</si>
  <si>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</si>
  <si>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</si>
  <si>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</si>
  <si>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</si>
  <si>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</si>
  <si>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</si>
  <si>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</si>
  <si>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</si>
  <si>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</si>
  <si>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</si>
  <si>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</si>
  <si>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</si>
  <si>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</si>
  <si>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</si>
  <si>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</si>
  <si>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</si>
  <si>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</si>
  <si>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</si>
  <si>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</si>
  <si>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</si>
  <si>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</si>
  <si>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</si>
  <si>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</si>
  <si>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</si>
  <si>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</si>
  <si>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</si>
  <si>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</si>
  <si>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</si>
  <si>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</si>
  <si>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</si>
  <si>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</si>
  <si>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</si>
  <si>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</si>
  <si>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</si>
  <si>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TOTALS</t>
  </si>
  <si>
    <t>SHERIFF COLLECTION-DELINQUENCY REPORT 2005</t>
  </si>
  <si>
    <t>TOTAL REAL PROPERTY TAXES CHARGED</t>
  </si>
  <si>
    <t>TOTAL TANGIBLE PROPERTY TAXES CHARGED</t>
  </si>
  <si>
    <t>TOTAL INTANGIBLE PROPERTY TAXES CHARGED</t>
  </si>
  <si>
    <t>TOTAL STATE PROPERTY TAXES CHARGED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</si>
</sst>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15" applyNumberFormat="1" applyAlignment="1">
      <alignment/>
    </xf>
    <xf numFmtId="164" fontId="1" fillId="0" borderId="0" xfId="15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164" fontId="1" fillId="0" borderId="1" xfId="15" applyNumberFormat="1" applyFont="1" applyBorder="1" applyAlignment="1">
      <alignment horizontal="center" wrapText="1"/>
    </xf>
    <xf numFmtId="165" fontId="1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164" fontId="0" fillId="0" borderId="0" xfId="15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15" applyNumberForma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0" fontId="1" fillId="0" borderId="2" xfId="0" applyFont="1" applyBorder="1" applyAlignment="1">
      <alignment/>
    </xf>
    <xf numFmtId="164" fontId="0" fillId="0" borderId="2" xfId="15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76" sqref="C76"/>
    </sheetView>
  </sheetViews>
  <sheetFormatPr defaultColWidth="9.140625" defaultRowHeight="12.75"/>
  <cols>
    <col min="1" max="1" width="16.7109375" style="1" customWidth="1"/>
    <col min="2" max="2" width="12.140625" style="0" customWidth="1"/>
    <col min="3" max="3" width="12.8515625" style="0" customWidth="1"/>
    <col min="4" max="4" width="13.57421875" style="0" customWidth="1"/>
    <col min="5" max="5" width="12.7109375" style="2" customWidth="1"/>
    <col min="6" max="6" width="13.140625" style="2" customWidth="1"/>
    <col min="7" max="7" width="13.28125" style="0" customWidth="1"/>
    <col min="8" max="8" width="12.8515625" style="2" customWidth="1"/>
    <col min="9" max="9" width="12.7109375" style="2" customWidth="1"/>
    <col min="10" max="10" width="13.7109375" style="0" customWidth="1"/>
    <col min="11" max="11" width="12.421875" style="0" customWidth="1"/>
    <col min="12" max="12" width="13.28125" style="0" customWidth="1"/>
    <col min="13" max="13" width="13.00390625" style="0" customWidth="1"/>
  </cols>
  <sheetData>
    <row r="1" ht="12.75">
      <c r="F1" s="3" t="s">
        <v>127</v>
      </c>
    </row>
    <row r="2" ht="13.5" customHeight="1">
      <c r="G2" s="1" t="s">
        <v>0</v>
      </c>
    </row>
    <row r="3" spans="1:13" ht="64.5" thickBot="1">
      <c r="A3" s="4" t="s">
        <v>1</v>
      </c>
      <c r="B3" s="4" t="s">
        <v>128</v>
      </c>
      <c r="C3" s="4" t="s">
        <v>2</v>
      </c>
      <c r="D3" s="4" t="s">
        <v>3</v>
      </c>
      <c r="E3" s="5" t="s">
        <v>129</v>
      </c>
      <c r="F3" s="5" t="s">
        <v>2</v>
      </c>
      <c r="G3" s="4" t="s">
        <v>3</v>
      </c>
      <c r="H3" s="5" t="s">
        <v>130</v>
      </c>
      <c r="I3" s="5" t="s">
        <v>2</v>
      </c>
      <c r="J3" s="4" t="s">
        <v>3</v>
      </c>
      <c r="K3" s="4" t="s">
        <v>131</v>
      </c>
      <c r="L3" s="4" t="s">
        <v>4</v>
      </c>
      <c r="M3" s="4" t="s">
        <v>5</v>
      </c>
    </row>
    <row r="4" spans="1:13" ht="12.75">
      <c r="A4" s="6" t="s">
        <v>6</v>
      </c>
      <c r="B4" s="2">
        <f>539780+2656</f>
        <v>542436</v>
      </c>
      <c r="C4" s="2">
        <f>9425</f>
        <v>9425</v>
      </c>
      <c r="D4" s="7">
        <f aca="true" t="shared" si="0" ref="D4:D67">C4/B4*100</f>
        <v>1.7375321696937518</v>
      </c>
      <c r="E4" s="2">
        <f>54211+81+6723+11206+52+1</f>
        <v>72274</v>
      </c>
      <c r="F4" s="8">
        <f>62+21</f>
        <v>83</v>
      </c>
      <c r="G4" s="7">
        <f aca="true" t="shared" si="1" ref="G4:G47">F4/E4*100</f>
        <v>0.11484074494285636</v>
      </c>
      <c r="H4" s="2">
        <f>54984+828+10+1242</f>
        <v>57064</v>
      </c>
      <c r="I4" s="2">
        <f>3819</f>
        <v>3819</v>
      </c>
      <c r="J4" s="7">
        <f aca="true" t="shared" si="2" ref="J4:J67">I4/H4*100</f>
        <v>6.692485630169634</v>
      </c>
      <c r="K4" s="9">
        <f aca="true" t="shared" si="3" ref="K4:L49">(B4+E4+H4)</f>
        <v>671774</v>
      </c>
      <c r="L4" s="9">
        <f t="shared" si="3"/>
        <v>13327</v>
      </c>
      <c r="M4" s="7">
        <f aca="true" t="shared" si="4" ref="M4:M67">L4/K4*100</f>
        <v>1.9838517120341066</v>
      </c>
    </row>
    <row r="5" spans="1:13" ht="12.75">
      <c r="A5" s="6" t="s">
        <v>7</v>
      </c>
      <c r="B5" s="2">
        <f>635918+444+680+9759+920</f>
        <v>647721</v>
      </c>
      <c r="C5" s="2">
        <f>13246</f>
        <v>13246</v>
      </c>
      <c r="D5" s="7">
        <f t="shared" si="0"/>
        <v>2.0450162955964064</v>
      </c>
      <c r="E5" s="2">
        <f>104649+19394+935</f>
        <v>124978</v>
      </c>
      <c r="F5" s="2">
        <f>1176+12</f>
        <v>1188</v>
      </c>
      <c r="G5" s="7">
        <f t="shared" si="1"/>
        <v>0.9505672998447727</v>
      </c>
      <c r="H5" s="2">
        <f>18591+3+2</f>
        <v>18596</v>
      </c>
      <c r="I5" s="2">
        <f>0</f>
        <v>0</v>
      </c>
      <c r="J5" s="7">
        <f t="shared" si="2"/>
        <v>0</v>
      </c>
      <c r="K5" s="9">
        <f t="shared" si="3"/>
        <v>791295</v>
      </c>
      <c r="L5" s="9">
        <f t="shared" si="3"/>
        <v>14434</v>
      </c>
      <c r="M5" s="7">
        <f t="shared" si="4"/>
        <v>1.8240984714929325</v>
      </c>
    </row>
    <row r="6" spans="1:13" ht="12.75">
      <c r="A6" s="6" t="s">
        <v>8</v>
      </c>
      <c r="B6" s="2">
        <f>1322971+1057+191+97</f>
        <v>1324316</v>
      </c>
      <c r="C6" s="2">
        <v>18923</v>
      </c>
      <c r="D6" s="7">
        <f t="shared" si="0"/>
        <v>1.4288885734220533</v>
      </c>
      <c r="E6" s="2">
        <f>103676+110143+33464+70+1</f>
        <v>247354</v>
      </c>
      <c r="F6" s="2">
        <f>1367+9</f>
        <v>1376</v>
      </c>
      <c r="G6" s="7">
        <f t="shared" si="1"/>
        <v>0.5562877495411435</v>
      </c>
      <c r="H6" s="2">
        <f>23888+2838+1572</f>
        <v>28298</v>
      </c>
      <c r="I6" s="2">
        <f>125</f>
        <v>125</v>
      </c>
      <c r="J6" s="7">
        <f t="shared" si="2"/>
        <v>0.441727330553396</v>
      </c>
      <c r="K6" s="9">
        <f t="shared" si="3"/>
        <v>1599968</v>
      </c>
      <c r="L6" s="9">
        <f t="shared" si="3"/>
        <v>20424</v>
      </c>
      <c r="M6" s="7">
        <f t="shared" si="4"/>
        <v>1.2765255305106102</v>
      </c>
    </row>
    <row r="7" spans="1:13" ht="12.75">
      <c r="A7" s="6" t="s">
        <v>9</v>
      </c>
      <c r="B7" s="2">
        <f>337665+116+59</f>
        <v>337840</v>
      </c>
      <c r="C7" s="2">
        <f>7768</f>
        <v>7768</v>
      </c>
      <c r="D7" s="7">
        <f t="shared" si="0"/>
        <v>2.2993132843949797</v>
      </c>
      <c r="E7" s="2">
        <f>141533+272123+8352+11+3</f>
        <v>422022</v>
      </c>
      <c r="F7" s="2">
        <f>665</f>
        <v>665</v>
      </c>
      <c r="G7" s="7">
        <f t="shared" si="1"/>
        <v>0.1575747235926089</v>
      </c>
      <c r="H7" s="2">
        <f>23221+11+928</f>
        <v>24160</v>
      </c>
      <c r="I7" s="2">
        <f>74</f>
        <v>74</v>
      </c>
      <c r="J7" s="7">
        <f t="shared" si="2"/>
        <v>0.30629139072847683</v>
      </c>
      <c r="K7" s="9">
        <f t="shared" si="3"/>
        <v>784022</v>
      </c>
      <c r="L7" s="9">
        <f t="shared" si="3"/>
        <v>8507</v>
      </c>
      <c r="M7" s="7">
        <f t="shared" si="4"/>
        <v>1.085046082890531</v>
      </c>
    </row>
    <row r="8" spans="1:13" ht="12.75">
      <c r="A8" s="6" t="s">
        <v>10</v>
      </c>
      <c r="B8" s="2">
        <f>1952182+4965+1229+1866</f>
        <v>1960242</v>
      </c>
      <c r="C8" s="2">
        <v>27753</v>
      </c>
      <c r="D8" s="7">
        <f t="shared" si="0"/>
        <v>1.415794580465065</v>
      </c>
      <c r="E8" s="2">
        <f>346299+330+330810+86823+22+2499</f>
        <v>766783</v>
      </c>
      <c r="F8" s="2">
        <f>1414+134+66</f>
        <v>1614</v>
      </c>
      <c r="G8" s="7">
        <f t="shared" si="1"/>
        <v>0.21048979959127942</v>
      </c>
      <c r="H8" s="2">
        <f>284848+7583+3544</f>
        <v>295975</v>
      </c>
      <c r="I8" s="2">
        <f>0</f>
        <v>0</v>
      </c>
      <c r="J8" s="7">
        <f t="shared" si="2"/>
        <v>0</v>
      </c>
      <c r="K8" s="9">
        <f t="shared" si="3"/>
        <v>3023000</v>
      </c>
      <c r="L8" s="9">
        <f t="shared" si="3"/>
        <v>29367</v>
      </c>
      <c r="M8" s="7">
        <f t="shared" si="4"/>
        <v>0.9714521998015215</v>
      </c>
    </row>
    <row r="9" spans="1:13" ht="12.75">
      <c r="A9" s="6" t="s">
        <v>11</v>
      </c>
      <c r="B9" s="2">
        <f>321117</f>
        <v>321117</v>
      </c>
      <c r="C9" s="2">
        <v>15314</v>
      </c>
      <c r="D9" s="7">
        <f t="shared" si="0"/>
        <v>4.768978285173317</v>
      </c>
      <c r="E9" s="2">
        <f>29669+4511+3484+2+5</f>
        <v>37671</v>
      </c>
      <c r="F9" s="2">
        <f>413+79</f>
        <v>492</v>
      </c>
      <c r="G9" s="7">
        <f t="shared" si="1"/>
        <v>1.3060444373656128</v>
      </c>
      <c r="H9" s="10">
        <f>15555+7+608</f>
        <v>16170</v>
      </c>
      <c r="I9" s="2">
        <f>383</f>
        <v>383</v>
      </c>
      <c r="J9" s="7">
        <f t="shared" si="2"/>
        <v>2.3685837971552255</v>
      </c>
      <c r="K9" s="9">
        <f t="shared" si="3"/>
        <v>374958</v>
      </c>
      <c r="L9" s="9">
        <f t="shared" si="3"/>
        <v>16189</v>
      </c>
      <c r="M9" s="7">
        <f t="shared" si="4"/>
        <v>4.3175502322926835</v>
      </c>
    </row>
    <row r="10" spans="1:13" ht="12.75">
      <c r="A10" s="6" t="s">
        <v>12</v>
      </c>
      <c r="B10" s="2">
        <f>670443+116+41183</f>
        <v>711742</v>
      </c>
      <c r="C10" s="2">
        <v>48385</v>
      </c>
      <c r="D10" s="7">
        <f t="shared" si="0"/>
        <v>6.7981094272924745</v>
      </c>
      <c r="E10" s="2">
        <f>190845+38017+24081+386+102</f>
        <v>253431</v>
      </c>
      <c r="F10" s="2">
        <f>988+68+108</f>
        <v>1164</v>
      </c>
      <c r="G10" s="7">
        <f t="shared" si="1"/>
        <v>0.4592966132793541</v>
      </c>
      <c r="H10" s="2">
        <f>66318+1134+623</f>
        <v>68075</v>
      </c>
      <c r="I10" s="2">
        <f>14</f>
        <v>14</v>
      </c>
      <c r="J10" s="7">
        <f t="shared" si="2"/>
        <v>0.020565552699228794</v>
      </c>
      <c r="K10" s="9">
        <f t="shared" si="3"/>
        <v>1033248</v>
      </c>
      <c r="L10" s="9">
        <f t="shared" si="3"/>
        <v>49563</v>
      </c>
      <c r="M10" s="7">
        <f t="shared" si="4"/>
        <v>4.796815478955682</v>
      </c>
    </row>
    <row r="11" spans="1:13" ht="12.75">
      <c r="A11" s="6" t="s">
        <v>13</v>
      </c>
      <c r="B11" s="2">
        <f>10220116+89609+1255+4480+30309+6371</f>
        <v>10352140</v>
      </c>
      <c r="C11" s="2">
        <f>81403+24098+1179+1774</f>
        <v>108454</v>
      </c>
      <c r="D11" s="7">
        <f t="shared" si="0"/>
        <v>1.0476481191328557</v>
      </c>
      <c r="E11" s="2">
        <f>2048216+51926+874862+5775+498817+1509+7562+2634</f>
        <v>3491301</v>
      </c>
      <c r="F11" s="2">
        <f>24100+19+179</f>
        <v>24298</v>
      </c>
      <c r="G11" s="7">
        <f t="shared" si="1"/>
        <v>0.6959583261368757</v>
      </c>
      <c r="H11" s="2">
        <f>1131188+33+93603+816</f>
        <v>1225640</v>
      </c>
      <c r="I11" s="2">
        <f>7745+792</f>
        <v>8537</v>
      </c>
      <c r="J11" s="7">
        <f t="shared" si="2"/>
        <v>0.6965340556770341</v>
      </c>
      <c r="K11" s="9">
        <f t="shared" si="3"/>
        <v>15069081</v>
      </c>
      <c r="L11" s="9">
        <f t="shared" si="3"/>
        <v>141289</v>
      </c>
      <c r="M11" s="7">
        <f t="shared" si="4"/>
        <v>0.9376086040017969</v>
      </c>
    </row>
    <row r="12" spans="1:13" ht="12.75">
      <c r="A12" s="6" t="s">
        <v>14</v>
      </c>
      <c r="B12" s="2">
        <f>1089309+526+719</f>
        <v>1090554</v>
      </c>
      <c r="C12" s="2">
        <f>15140+358</f>
        <v>15498</v>
      </c>
      <c r="D12" s="7">
        <f t="shared" si="0"/>
        <v>1.4211125721422322</v>
      </c>
      <c r="E12" s="2">
        <f>164419+213678+28502+12+806</f>
        <v>407417</v>
      </c>
      <c r="F12" s="2">
        <f>1107+24</f>
        <v>1131</v>
      </c>
      <c r="G12" s="7">
        <f t="shared" si="1"/>
        <v>0.2776025546307591</v>
      </c>
      <c r="H12" s="2">
        <f>124929+2585+4236</f>
        <v>131750</v>
      </c>
      <c r="I12" s="2">
        <f>1301</f>
        <v>1301</v>
      </c>
      <c r="J12" s="7">
        <f t="shared" si="2"/>
        <v>0.9874762808349147</v>
      </c>
      <c r="K12" s="9">
        <f t="shared" si="3"/>
        <v>1629721</v>
      </c>
      <c r="L12" s="9">
        <f t="shared" si="3"/>
        <v>17930</v>
      </c>
      <c r="M12" s="7">
        <f t="shared" si="4"/>
        <v>1.1001883144415516</v>
      </c>
    </row>
    <row r="13" spans="1:13" ht="12.75">
      <c r="A13" s="6" t="s">
        <v>15</v>
      </c>
      <c r="B13" s="8">
        <f>1909774+7247+670</f>
        <v>1917691</v>
      </c>
      <c r="C13" s="2">
        <f>63243</f>
        <v>63243</v>
      </c>
      <c r="D13" s="7">
        <f t="shared" si="0"/>
        <v>3.2978722849510165</v>
      </c>
      <c r="E13" s="2">
        <f>618016+207+505944+117962+56+488</f>
        <v>1242673</v>
      </c>
      <c r="F13" s="2">
        <f>16707+7+473</f>
        <v>17187</v>
      </c>
      <c r="G13" s="7">
        <f t="shared" si="1"/>
        <v>1.383066985441866</v>
      </c>
      <c r="H13" s="2">
        <f>9403+557391+8965+3292</f>
        <v>579051</v>
      </c>
      <c r="I13" s="2">
        <f>12290+313</f>
        <v>12603</v>
      </c>
      <c r="J13" s="7">
        <f t="shared" si="2"/>
        <v>2.176492226073351</v>
      </c>
      <c r="K13" s="9">
        <f t="shared" si="3"/>
        <v>3739415</v>
      </c>
      <c r="L13" s="9">
        <f t="shared" si="3"/>
        <v>93033</v>
      </c>
      <c r="M13" s="7">
        <f t="shared" si="4"/>
        <v>2.4879025195117417</v>
      </c>
    </row>
    <row r="14" spans="1:13" ht="12.75">
      <c r="A14" s="6" t="s">
        <v>16</v>
      </c>
      <c r="B14" s="2">
        <f>1761688+874+187+1096</f>
        <v>1763845</v>
      </c>
      <c r="C14" s="2">
        <v>12435</v>
      </c>
      <c r="D14" s="7">
        <f t="shared" si="0"/>
        <v>0.7049939195337459</v>
      </c>
      <c r="E14" s="2">
        <f>415976+250171+58982+591+54+61</f>
        <v>725835</v>
      </c>
      <c r="F14" s="2">
        <f>986+51</f>
        <v>1037</v>
      </c>
      <c r="G14" s="7">
        <f t="shared" si="1"/>
        <v>0.14286993600473938</v>
      </c>
      <c r="H14" s="2">
        <f>219783+183+416+3535</f>
        <v>223917</v>
      </c>
      <c r="I14" s="2">
        <v>0</v>
      </c>
      <c r="J14" s="7">
        <f t="shared" si="2"/>
        <v>0</v>
      </c>
      <c r="K14" s="9">
        <f t="shared" si="3"/>
        <v>2713597</v>
      </c>
      <c r="L14" s="9">
        <f t="shared" si="3"/>
        <v>13472</v>
      </c>
      <c r="M14" s="7">
        <f t="shared" si="4"/>
        <v>0.4964628130116594</v>
      </c>
    </row>
    <row r="15" spans="1:13" ht="12.75">
      <c r="A15" s="6" t="s">
        <v>17</v>
      </c>
      <c r="B15" s="2">
        <f>291856+19</f>
        <v>291875</v>
      </c>
      <c r="C15" s="2">
        <f>5747</f>
        <v>5747</v>
      </c>
      <c r="D15" s="7">
        <f t="shared" si="0"/>
        <v>1.9689935760171307</v>
      </c>
      <c r="E15" s="2">
        <f>15283+10+26018+3189+3+14+1</f>
        <v>44518</v>
      </c>
      <c r="F15" s="2">
        <f>93</f>
        <v>93</v>
      </c>
      <c r="G15" s="7">
        <f t="shared" si="1"/>
        <v>0.2089042634440002</v>
      </c>
      <c r="H15" s="2">
        <f>8019+10+730</f>
        <v>8759</v>
      </c>
      <c r="I15" s="2">
        <v>0</v>
      </c>
      <c r="J15" s="7">
        <f t="shared" si="2"/>
        <v>0</v>
      </c>
      <c r="K15" s="9">
        <f t="shared" si="3"/>
        <v>345152</v>
      </c>
      <c r="L15" s="9">
        <f t="shared" si="3"/>
        <v>5840</v>
      </c>
      <c r="M15" s="7">
        <f t="shared" si="4"/>
        <v>1.6920081587242723</v>
      </c>
    </row>
    <row r="16" spans="1:13" ht="12.75">
      <c r="A16" s="6" t="s">
        <v>18</v>
      </c>
      <c r="B16" s="2">
        <f>307026+244+10957+1558</f>
        <v>319785</v>
      </c>
      <c r="C16" s="2">
        <v>18785</v>
      </c>
      <c r="D16" s="7">
        <f t="shared" si="0"/>
        <v>5.874259267945651</v>
      </c>
      <c r="E16" s="2">
        <f>91797+6741+7503+1</f>
        <v>106042</v>
      </c>
      <c r="F16" s="2">
        <f>722+83</f>
        <v>805</v>
      </c>
      <c r="G16" s="7">
        <f t="shared" si="1"/>
        <v>0.7591331736481771</v>
      </c>
      <c r="H16" s="2">
        <f>32773+8+1235</f>
        <v>34016</v>
      </c>
      <c r="I16" s="2">
        <f>349</f>
        <v>349</v>
      </c>
      <c r="J16" s="7">
        <f t="shared" si="2"/>
        <v>1.0259877704609595</v>
      </c>
      <c r="K16" s="9">
        <f t="shared" si="3"/>
        <v>459843</v>
      </c>
      <c r="L16" s="9">
        <f t="shared" si="3"/>
        <v>19939</v>
      </c>
      <c r="M16" s="7">
        <f t="shared" si="4"/>
        <v>4.336045128446013</v>
      </c>
    </row>
    <row r="17" spans="1:13" ht="12.75">
      <c r="A17" s="6" t="s">
        <v>19</v>
      </c>
      <c r="B17" s="2">
        <f>761563+295+680+135</f>
        <v>762673</v>
      </c>
      <c r="C17" s="2">
        <f>17549</f>
        <v>17549</v>
      </c>
      <c r="D17" s="7">
        <f t="shared" si="0"/>
        <v>2.300986136915821</v>
      </c>
      <c r="E17" s="2">
        <f>75921+7328+9705+45+6</f>
        <v>93005</v>
      </c>
      <c r="F17" s="2">
        <f>1125+1226+528</f>
        <v>2879</v>
      </c>
      <c r="G17" s="7">
        <f t="shared" si="1"/>
        <v>3.095532498252782</v>
      </c>
      <c r="H17" s="2">
        <f>35746+3+678</f>
        <v>36427</v>
      </c>
      <c r="I17" s="8">
        <v>202</v>
      </c>
      <c r="J17" s="7">
        <f t="shared" si="2"/>
        <v>0.554533724984215</v>
      </c>
      <c r="K17" s="9">
        <f t="shared" si="3"/>
        <v>892105</v>
      </c>
      <c r="L17" s="9">
        <f t="shared" si="3"/>
        <v>20630</v>
      </c>
      <c r="M17" s="7">
        <f t="shared" si="4"/>
        <v>2.3125080567870375</v>
      </c>
    </row>
    <row r="18" spans="1:13" ht="12.75">
      <c r="A18" s="6" t="s">
        <v>20</v>
      </c>
      <c r="B18" s="2">
        <f>4410425+508+1920+2700</f>
        <v>4415553</v>
      </c>
      <c r="C18" s="2">
        <v>78576</v>
      </c>
      <c r="D18" s="7">
        <f t="shared" si="0"/>
        <v>1.7795279549356557</v>
      </c>
      <c r="E18" s="2">
        <f>314220+598+135084+55431+24+21</f>
        <v>505378</v>
      </c>
      <c r="F18" s="2">
        <f>8175+746+81</f>
        <v>9002</v>
      </c>
      <c r="G18" s="7">
        <f t="shared" si="1"/>
        <v>1.781240972104049</v>
      </c>
      <c r="H18" s="2">
        <f>143072+3597+1575</f>
        <v>148244</v>
      </c>
      <c r="I18" s="2">
        <f>4648+30</f>
        <v>4678</v>
      </c>
      <c r="J18" s="7">
        <f t="shared" si="2"/>
        <v>3.155608321416044</v>
      </c>
      <c r="K18" s="9">
        <f t="shared" si="3"/>
        <v>5069175</v>
      </c>
      <c r="L18" s="9">
        <f t="shared" si="3"/>
        <v>92256</v>
      </c>
      <c r="M18" s="7">
        <f t="shared" si="4"/>
        <v>1.819941114678424</v>
      </c>
    </row>
    <row r="19" spans="1:13" ht="12.75">
      <c r="A19" s="6" t="s">
        <v>21</v>
      </c>
      <c r="B19" s="2">
        <f>376502+2752+200</f>
        <v>379454</v>
      </c>
      <c r="C19" s="2">
        <v>10244</v>
      </c>
      <c r="D19" s="7">
        <f t="shared" si="0"/>
        <v>2.6996684710136143</v>
      </c>
      <c r="E19" s="2">
        <f>45011+40759+18257+5</f>
        <v>104032</v>
      </c>
      <c r="F19" s="2">
        <f>695</f>
        <v>695</v>
      </c>
      <c r="G19" s="7">
        <f t="shared" si="1"/>
        <v>0.6680636727160874</v>
      </c>
      <c r="H19" s="2">
        <f>51707+586+751</f>
        <v>53044</v>
      </c>
      <c r="I19" s="2">
        <v>0</v>
      </c>
      <c r="J19" s="7">
        <f t="shared" si="2"/>
        <v>0</v>
      </c>
      <c r="K19" s="9">
        <f t="shared" si="3"/>
        <v>536530</v>
      </c>
      <c r="L19" s="9">
        <f t="shared" si="3"/>
        <v>10939</v>
      </c>
      <c r="M19" s="7">
        <f t="shared" si="4"/>
        <v>2.0388421896259294</v>
      </c>
    </row>
    <row r="20" spans="1:13" ht="12.75">
      <c r="A20" s="6" t="s">
        <v>22</v>
      </c>
      <c r="B20" s="2">
        <f>411302+3155</f>
        <v>414457</v>
      </c>
      <c r="C20" s="2">
        <f>8831</f>
        <v>8831</v>
      </c>
      <c r="D20" s="7">
        <f t="shared" si="0"/>
        <v>2.1307397389837788</v>
      </c>
      <c r="E20" s="2">
        <f>74454+16241+1194+837+58642+20199+1108+2</f>
        <v>172677</v>
      </c>
      <c r="F20" s="2">
        <f>1437</f>
        <v>1437</v>
      </c>
      <c r="G20" s="7">
        <f t="shared" si="1"/>
        <v>0.8321895793881061</v>
      </c>
      <c r="H20" s="2">
        <f>21299+217+426</f>
        <v>21942</v>
      </c>
      <c r="I20" s="2">
        <v>0</v>
      </c>
      <c r="J20" s="7">
        <f t="shared" si="2"/>
        <v>0</v>
      </c>
      <c r="K20" s="9">
        <f t="shared" si="3"/>
        <v>609076</v>
      </c>
      <c r="L20" s="9">
        <f t="shared" si="3"/>
        <v>10268</v>
      </c>
      <c r="M20" s="7">
        <f t="shared" si="4"/>
        <v>1.6858323099251984</v>
      </c>
    </row>
    <row r="21" spans="1:13" ht="12.75">
      <c r="A21" s="6" t="s">
        <v>23</v>
      </c>
      <c r="B21" s="8">
        <f>1534496+54+1560+58+107</f>
        <v>1536275</v>
      </c>
      <c r="C21" s="2">
        <v>25710</v>
      </c>
      <c r="D21" s="7">
        <f t="shared" si="0"/>
        <v>1.6735285023840134</v>
      </c>
      <c r="E21" s="2">
        <f>225839+91+792+151356+57461+100+223</f>
        <v>435862</v>
      </c>
      <c r="F21" s="2">
        <f>2194+66+353+5</f>
        <v>2618</v>
      </c>
      <c r="G21" s="7">
        <f t="shared" si="1"/>
        <v>0.6006488292165869</v>
      </c>
      <c r="H21" s="2">
        <f>113654+3128+695+5</f>
        <v>117482</v>
      </c>
      <c r="I21" s="2">
        <f>1156</f>
        <v>1156</v>
      </c>
      <c r="J21" s="7">
        <f t="shared" si="2"/>
        <v>0.9839805246761205</v>
      </c>
      <c r="K21" s="9">
        <f t="shared" si="3"/>
        <v>2089619</v>
      </c>
      <c r="L21" s="9">
        <f t="shared" si="3"/>
        <v>29484</v>
      </c>
      <c r="M21" s="7">
        <f t="shared" si="4"/>
        <v>1.4109749193513268</v>
      </c>
    </row>
    <row r="22" spans="1:13" ht="12.75">
      <c r="A22" s="6" t="s">
        <v>24</v>
      </c>
      <c r="B22" s="2">
        <f>5483752+2401+39</f>
        <v>5486192</v>
      </c>
      <c r="C22" s="2">
        <v>74778</v>
      </c>
      <c r="D22" s="7">
        <f t="shared" si="0"/>
        <v>1.363021928507059</v>
      </c>
      <c r="E22" s="2">
        <f>671320+176076+58152+176+3</f>
        <v>905727</v>
      </c>
      <c r="F22" s="2">
        <f>5123+333</f>
        <v>5456</v>
      </c>
      <c r="G22" s="7">
        <f t="shared" si="1"/>
        <v>0.6023890200910429</v>
      </c>
      <c r="H22" s="2">
        <f>634068+146685+1760</f>
        <v>782513</v>
      </c>
      <c r="I22" s="2">
        <f>3637</f>
        <v>3637</v>
      </c>
      <c r="J22" s="7">
        <f t="shared" si="2"/>
        <v>0.46478461060710813</v>
      </c>
      <c r="K22" s="9">
        <f t="shared" si="3"/>
        <v>7174432</v>
      </c>
      <c r="L22" s="9">
        <f t="shared" si="3"/>
        <v>83871</v>
      </c>
      <c r="M22" s="7">
        <f t="shared" si="4"/>
        <v>1.1690263424337983</v>
      </c>
    </row>
    <row r="23" spans="1:13" ht="12.75">
      <c r="A23" s="6" t="s">
        <v>25</v>
      </c>
      <c r="B23" s="2">
        <f>151156+459+96</f>
        <v>151711</v>
      </c>
      <c r="C23" s="2">
        <v>3312</v>
      </c>
      <c r="D23" s="7">
        <f t="shared" si="0"/>
        <v>2.183098127360574</v>
      </c>
      <c r="E23" s="2">
        <f>20907+1097+2359</f>
        <v>24363</v>
      </c>
      <c r="F23" s="2">
        <v>40</v>
      </c>
      <c r="G23" s="7">
        <f t="shared" si="1"/>
        <v>0.16418339284981323</v>
      </c>
      <c r="H23" s="2">
        <f>13197+10+1001</f>
        <v>14208</v>
      </c>
      <c r="I23" s="2">
        <v>0</v>
      </c>
      <c r="J23" s="7">
        <f t="shared" si="2"/>
        <v>0</v>
      </c>
      <c r="K23" s="9">
        <f t="shared" si="3"/>
        <v>190282</v>
      </c>
      <c r="L23" s="9">
        <f t="shared" si="3"/>
        <v>3352</v>
      </c>
      <c r="M23" s="7">
        <f t="shared" si="4"/>
        <v>1.761595947068036</v>
      </c>
    </row>
    <row r="24" spans="1:13" ht="12.75">
      <c r="A24" s="6" t="s">
        <v>26</v>
      </c>
      <c r="B24" s="2">
        <f>558743+391373</f>
        <v>950116</v>
      </c>
      <c r="C24" s="2">
        <v>7805</v>
      </c>
      <c r="D24" s="7">
        <f t="shared" si="0"/>
        <v>0.8214786405028438</v>
      </c>
      <c r="E24" s="2">
        <f>291654+379270+156820</f>
        <v>827744</v>
      </c>
      <c r="F24" s="2">
        <f>336+4</f>
        <v>340</v>
      </c>
      <c r="G24" s="7">
        <f t="shared" si="1"/>
        <v>0.04107550160436077</v>
      </c>
      <c r="H24" s="2">
        <f>27602+18679+384</f>
        <v>46665</v>
      </c>
      <c r="I24" s="8">
        <f>0</f>
        <v>0</v>
      </c>
      <c r="J24" s="7">
        <f t="shared" si="2"/>
        <v>0</v>
      </c>
      <c r="K24" s="9">
        <f t="shared" si="3"/>
        <v>1824525</v>
      </c>
      <c r="L24" s="9">
        <f t="shared" si="3"/>
        <v>8145</v>
      </c>
      <c r="M24" s="7">
        <f t="shared" si="4"/>
        <v>0.4464175607349858</v>
      </c>
    </row>
    <row r="25" spans="1:13" ht="12.75">
      <c r="A25" s="6" t="s">
        <v>27</v>
      </c>
      <c r="B25" s="2">
        <f>719023+331+596+1862+91</f>
        <v>721903</v>
      </c>
      <c r="C25" s="2">
        <f>28450</f>
        <v>28450</v>
      </c>
      <c r="D25" s="7">
        <f t="shared" si="0"/>
        <v>3.9409726791549553</v>
      </c>
      <c r="E25" s="2">
        <f>83529+19094+18414+6+26</f>
        <v>121069</v>
      </c>
      <c r="F25" s="2">
        <f>1539+307</f>
        <v>1846</v>
      </c>
      <c r="G25" s="7">
        <f t="shared" si="1"/>
        <v>1.5247503489745518</v>
      </c>
      <c r="H25" s="2">
        <f>41147+28+2680</f>
        <v>43855</v>
      </c>
      <c r="I25" s="2">
        <v>0</v>
      </c>
      <c r="J25" s="7">
        <f t="shared" si="2"/>
        <v>0</v>
      </c>
      <c r="K25" s="9">
        <f t="shared" si="3"/>
        <v>886827</v>
      </c>
      <c r="L25" s="9">
        <f t="shared" si="3"/>
        <v>30296</v>
      </c>
      <c r="M25" s="7">
        <f t="shared" si="4"/>
        <v>3.4162243594297417</v>
      </c>
    </row>
    <row r="26" spans="1:13" ht="12.75">
      <c r="A26" s="6" t="s">
        <v>28</v>
      </c>
      <c r="B26" s="2">
        <f>465182+148</f>
        <v>465330</v>
      </c>
      <c r="C26" s="2">
        <v>7573</v>
      </c>
      <c r="D26" s="7">
        <f t="shared" si="0"/>
        <v>1.627447188017106</v>
      </c>
      <c r="E26" s="2">
        <f>28826+15086+8410</f>
        <v>52322</v>
      </c>
      <c r="F26" s="8">
        <f>174+36</f>
        <v>210</v>
      </c>
      <c r="G26" s="7">
        <f t="shared" si="1"/>
        <v>0.40136080425060205</v>
      </c>
      <c r="H26" s="2">
        <f>56252+13+1176</f>
        <v>57441</v>
      </c>
      <c r="I26" s="2">
        <f>0</f>
        <v>0</v>
      </c>
      <c r="J26" s="7">
        <f t="shared" si="2"/>
        <v>0</v>
      </c>
      <c r="K26" s="9">
        <f t="shared" si="3"/>
        <v>575093</v>
      </c>
      <c r="L26" s="9">
        <f t="shared" si="3"/>
        <v>7783</v>
      </c>
      <c r="M26" s="7">
        <f t="shared" si="4"/>
        <v>1.3533463283329827</v>
      </c>
    </row>
    <row r="27" spans="1:13" ht="12.75">
      <c r="A27" s="6" t="s">
        <v>29</v>
      </c>
      <c r="B27" s="2">
        <f>2425344+681+3333+1203+2423</f>
        <v>2432984</v>
      </c>
      <c r="C27" s="2">
        <v>48536</v>
      </c>
      <c r="D27" s="7">
        <f t="shared" si="0"/>
        <v>1.9949165304827325</v>
      </c>
      <c r="E27" s="2">
        <f>562850+654746+119600+145+16069+24</f>
        <v>1353434</v>
      </c>
      <c r="F27" s="2">
        <f>737+711+11188</f>
        <v>12636</v>
      </c>
      <c r="G27" s="7">
        <f t="shared" si="1"/>
        <v>0.9336251342880406</v>
      </c>
      <c r="H27" s="2">
        <f>282253+9609+1585</f>
        <v>293447</v>
      </c>
      <c r="I27" s="2">
        <v>178</v>
      </c>
      <c r="J27" s="7">
        <f t="shared" si="2"/>
        <v>0.06065831308549756</v>
      </c>
      <c r="K27" s="9">
        <f t="shared" si="3"/>
        <v>4079865</v>
      </c>
      <c r="L27" s="9">
        <f t="shared" si="3"/>
        <v>61350</v>
      </c>
      <c r="M27" s="7">
        <f t="shared" si="4"/>
        <v>1.503726226235427</v>
      </c>
    </row>
    <row r="28" spans="1:13" ht="12.75">
      <c r="A28" s="6" t="s">
        <v>30</v>
      </c>
      <c r="B28" s="8">
        <f>2231328+187</f>
        <v>2231515</v>
      </c>
      <c r="C28" s="2">
        <v>27998</v>
      </c>
      <c r="D28" s="7">
        <f t="shared" si="0"/>
        <v>1.254663311696314</v>
      </c>
      <c r="E28" s="2">
        <f>273949+371938+75467+2719+4</f>
        <v>724077</v>
      </c>
      <c r="F28" s="2">
        <f>758+260</f>
        <v>1018</v>
      </c>
      <c r="G28" s="7">
        <f t="shared" si="1"/>
        <v>0.14059278225934535</v>
      </c>
      <c r="H28" s="2">
        <f>177820+3011+1055</f>
        <v>181886</v>
      </c>
      <c r="I28" s="2">
        <v>94</v>
      </c>
      <c r="J28" s="7">
        <f t="shared" si="2"/>
        <v>0.05168072309028732</v>
      </c>
      <c r="K28" s="9">
        <f t="shared" si="3"/>
        <v>3137478</v>
      </c>
      <c r="L28" s="9">
        <f t="shared" si="3"/>
        <v>29110</v>
      </c>
      <c r="M28" s="7">
        <f t="shared" si="4"/>
        <v>0.9278152707365598</v>
      </c>
    </row>
    <row r="29" spans="1:13" ht="12.75">
      <c r="A29" s="6" t="s">
        <v>31</v>
      </c>
      <c r="B29" s="8">
        <f>389302+43121+89</f>
        <v>432512</v>
      </c>
      <c r="C29" s="2">
        <f>32303</f>
        <v>32303</v>
      </c>
      <c r="D29" s="7">
        <f t="shared" si="0"/>
        <v>7.4686945102101205</v>
      </c>
      <c r="E29" s="2">
        <f>79156+421+11431+4+3</f>
        <v>91015</v>
      </c>
      <c r="F29" s="2">
        <f>263+29+1517</f>
        <v>1809</v>
      </c>
      <c r="G29" s="7">
        <f t="shared" si="1"/>
        <v>1.987584464099324</v>
      </c>
      <c r="H29" s="2">
        <f>40833+1185</f>
        <v>42018</v>
      </c>
      <c r="I29" s="2">
        <v>126</v>
      </c>
      <c r="J29" s="7">
        <f t="shared" si="2"/>
        <v>0.2998714836498643</v>
      </c>
      <c r="K29" s="9">
        <f t="shared" si="3"/>
        <v>565545</v>
      </c>
      <c r="L29" s="9">
        <f t="shared" si="3"/>
        <v>34238</v>
      </c>
      <c r="M29" s="7">
        <f t="shared" si="4"/>
        <v>6.053983325818459</v>
      </c>
    </row>
    <row r="30" spans="1:13" ht="12.75">
      <c r="A30" s="6" t="s">
        <v>32</v>
      </c>
      <c r="B30" s="2">
        <f>357266+56+5563+8</f>
        <v>362893</v>
      </c>
      <c r="C30" s="2">
        <f>15278</f>
        <v>15278</v>
      </c>
      <c r="D30" s="7">
        <f t="shared" si="0"/>
        <v>4.210056407811669</v>
      </c>
      <c r="E30" s="2">
        <f>62295+26093+9136+145</f>
        <v>97669</v>
      </c>
      <c r="F30" s="2">
        <f>8430+95</f>
        <v>8525</v>
      </c>
      <c r="G30" s="7">
        <f t="shared" si="1"/>
        <v>8.728460412208582</v>
      </c>
      <c r="H30" s="2">
        <f>6382+10+625</f>
        <v>7017</v>
      </c>
      <c r="I30" s="2">
        <v>0</v>
      </c>
      <c r="J30" s="7">
        <f t="shared" si="2"/>
        <v>0</v>
      </c>
      <c r="K30" s="9">
        <f t="shared" si="3"/>
        <v>467579</v>
      </c>
      <c r="L30" s="9">
        <f t="shared" si="3"/>
        <v>23803</v>
      </c>
      <c r="M30" s="7">
        <f t="shared" si="4"/>
        <v>5.090690557103719</v>
      </c>
    </row>
    <row r="31" spans="1:13" ht="12.75">
      <c r="A31" s="6" t="s">
        <v>33</v>
      </c>
      <c r="B31" s="2">
        <f>326376+560+351+108</f>
        <v>327395</v>
      </c>
      <c r="C31" s="2">
        <f>4048+1585+240+4</f>
        <v>5877</v>
      </c>
      <c r="D31" s="7">
        <f t="shared" si="0"/>
        <v>1.7950793384138426</v>
      </c>
      <c r="E31" s="2">
        <f>30092+10782+5525+37+4</f>
        <v>46440</v>
      </c>
      <c r="F31" s="2">
        <f>4</f>
        <v>4</v>
      </c>
      <c r="G31" s="7">
        <f t="shared" si="1"/>
        <v>0.008613264427217915</v>
      </c>
      <c r="H31" s="2">
        <f>15616+7+726</f>
        <v>16349</v>
      </c>
      <c r="I31" s="2">
        <v>0</v>
      </c>
      <c r="J31" s="7">
        <f t="shared" si="2"/>
        <v>0</v>
      </c>
      <c r="K31" s="9">
        <f t="shared" si="3"/>
        <v>390184</v>
      </c>
      <c r="L31" s="9">
        <f t="shared" si="3"/>
        <v>5881</v>
      </c>
      <c r="M31" s="7">
        <f t="shared" si="4"/>
        <v>1.5072376109732843</v>
      </c>
    </row>
    <row r="32" spans="1:13" ht="12.75">
      <c r="A32" s="6" t="s">
        <v>34</v>
      </c>
      <c r="B32" s="2">
        <f>251557+2109</f>
        <v>253666</v>
      </c>
      <c r="C32" s="2">
        <f>10967</f>
        <v>10967</v>
      </c>
      <c r="D32" s="7">
        <f t="shared" si="0"/>
        <v>4.323401638374871</v>
      </c>
      <c r="E32" s="2">
        <f>22303+2058+3898+16</f>
        <v>28275</v>
      </c>
      <c r="F32" s="2">
        <f>1472+464+94</f>
        <v>2030</v>
      </c>
      <c r="G32" s="7">
        <f t="shared" si="1"/>
        <v>7.179487179487179</v>
      </c>
      <c r="H32" s="2">
        <f>12822+7+1057</f>
        <v>13886</v>
      </c>
      <c r="I32" s="2">
        <f>205</f>
        <v>205</v>
      </c>
      <c r="J32" s="7">
        <f t="shared" si="2"/>
        <v>1.476307071870949</v>
      </c>
      <c r="K32" s="9">
        <f t="shared" si="3"/>
        <v>295827</v>
      </c>
      <c r="L32" s="9">
        <f t="shared" si="3"/>
        <v>13202</v>
      </c>
      <c r="M32" s="7">
        <f t="shared" si="4"/>
        <v>4.462743427746623</v>
      </c>
    </row>
    <row r="33" spans="1:13" ht="12.75">
      <c r="A33" s="6" t="s">
        <v>35</v>
      </c>
      <c r="B33" s="2">
        <f>4859773+1428+7528+2817</f>
        <v>4871546</v>
      </c>
      <c r="C33" s="2">
        <v>41897</v>
      </c>
      <c r="D33" s="7">
        <f t="shared" si="0"/>
        <v>0.8600349868399066</v>
      </c>
      <c r="E33" s="2">
        <f>1003992+838+449040+22587+181950+11278+311</f>
        <v>1669996</v>
      </c>
      <c r="F33" s="2">
        <f>16791+341+99</f>
        <v>17231</v>
      </c>
      <c r="G33" s="7">
        <f t="shared" si="1"/>
        <v>1.0317988785601881</v>
      </c>
      <c r="H33" s="2">
        <f>781575+28977+1023</f>
        <v>811575</v>
      </c>
      <c r="I33" s="2">
        <f>1111</f>
        <v>1111</v>
      </c>
      <c r="J33" s="7">
        <f t="shared" si="2"/>
        <v>0.13689431044573822</v>
      </c>
      <c r="K33" s="9">
        <f t="shared" si="3"/>
        <v>7353117</v>
      </c>
      <c r="L33" s="9">
        <f t="shared" si="3"/>
        <v>60239</v>
      </c>
      <c r="M33" s="7">
        <f t="shared" si="4"/>
        <v>0.8192308105528581</v>
      </c>
    </row>
    <row r="34" spans="1:13" ht="12.75">
      <c r="A34" s="6" t="s">
        <v>36</v>
      </c>
      <c r="B34" s="2">
        <f>446183+3496</f>
        <v>449679</v>
      </c>
      <c r="C34" s="2">
        <f>12740+64</f>
        <v>12804</v>
      </c>
      <c r="D34" s="7">
        <f t="shared" si="0"/>
        <v>2.847364453310028</v>
      </c>
      <c r="E34" s="2">
        <f>17742+3754+1782+10</f>
        <v>23288</v>
      </c>
      <c r="F34" s="2">
        <f>105+5</f>
        <v>110</v>
      </c>
      <c r="G34" s="7">
        <f t="shared" si="1"/>
        <v>0.4723462727585022</v>
      </c>
      <c r="H34" s="2">
        <f>4064+1161</f>
        <v>5225</v>
      </c>
      <c r="I34" s="2">
        <f>0</f>
        <v>0</v>
      </c>
      <c r="J34" s="7">
        <f t="shared" si="2"/>
        <v>0</v>
      </c>
      <c r="K34" s="9">
        <f t="shared" si="3"/>
        <v>478192</v>
      </c>
      <c r="L34" s="9">
        <f t="shared" si="3"/>
        <v>12914</v>
      </c>
      <c r="M34" s="7">
        <f t="shared" si="4"/>
        <v>2.7005888847994113</v>
      </c>
    </row>
    <row r="35" spans="1:13" ht="12.75">
      <c r="A35" s="6" t="s">
        <v>37</v>
      </c>
      <c r="B35" s="2">
        <f>141831+138+2684</f>
        <v>144653</v>
      </c>
      <c r="C35" s="2">
        <f>6901</f>
        <v>6901</v>
      </c>
      <c r="D35" s="7">
        <f t="shared" si="0"/>
        <v>4.7707271885132005</v>
      </c>
      <c r="E35" s="2">
        <f>6696+8+748+3</f>
        <v>7455</v>
      </c>
      <c r="F35" s="2">
        <f>128+11</f>
        <v>139</v>
      </c>
      <c r="G35" s="7">
        <f t="shared" si="1"/>
        <v>1.864520456069752</v>
      </c>
      <c r="H35" s="2">
        <f>3367+306</f>
        <v>3673</v>
      </c>
      <c r="I35" s="2">
        <v>0</v>
      </c>
      <c r="J35" s="7">
        <f t="shared" si="2"/>
        <v>0</v>
      </c>
      <c r="K35" s="9">
        <f t="shared" si="3"/>
        <v>155781</v>
      </c>
      <c r="L35" s="9">
        <f t="shared" si="3"/>
        <v>7040</v>
      </c>
      <c r="M35" s="7">
        <f t="shared" si="4"/>
        <v>4.519164724838074</v>
      </c>
    </row>
    <row r="36" spans="1:13" ht="12.75">
      <c r="A36" s="6" t="s">
        <v>38</v>
      </c>
      <c r="B36" s="2">
        <f>359188+176+1035+73+270</f>
        <v>360742</v>
      </c>
      <c r="C36" s="2">
        <v>19945</v>
      </c>
      <c r="D36" s="7">
        <f t="shared" si="0"/>
        <v>5.528882137372416</v>
      </c>
      <c r="E36" s="2">
        <f>28157+2769+6795+77</f>
        <v>37798</v>
      </c>
      <c r="F36" s="2">
        <f>0</f>
        <v>0</v>
      </c>
      <c r="G36" s="7">
        <f t="shared" si="1"/>
        <v>0</v>
      </c>
      <c r="H36" s="2">
        <f>11258+5+916</f>
        <v>12179</v>
      </c>
      <c r="I36" s="2">
        <v>0</v>
      </c>
      <c r="J36" s="7">
        <f t="shared" si="2"/>
        <v>0</v>
      </c>
      <c r="K36" s="9">
        <f t="shared" si="3"/>
        <v>410719</v>
      </c>
      <c r="L36" s="9">
        <f t="shared" si="3"/>
        <v>19945</v>
      </c>
      <c r="M36" s="7">
        <f t="shared" si="4"/>
        <v>4.8561181732522725</v>
      </c>
    </row>
    <row r="37" spans="1:13" ht="12.75">
      <c r="A37" s="6" t="s">
        <v>39</v>
      </c>
      <c r="B37" s="2">
        <f>23630086+1143+1996+20331</f>
        <v>23653556</v>
      </c>
      <c r="C37" s="2">
        <f>301847</f>
        <v>301847</v>
      </c>
      <c r="D37" s="7">
        <f t="shared" si="0"/>
        <v>1.2761167919106964</v>
      </c>
      <c r="E37" s="2">
        <f>3571545+147+483716+167+458969+9737+7202+9</f>
        <v>4531492</v>
      </c>
      <c r="F37" s="2">
        <f>97224+110+13173</f>
        <v>110507</v>
      </c>
      <c r="G37" s="7">
        <f t="shared" si="1"/>
        <v>2.4386449319561856</v>
      </c>
      <c r="H37" s="2">
        <f>3212477+182456+16742</f>
        <v>3411675</v>
      </c>
      <c r="I37" s="8">
        <f>26030+96</f>
        <v>26126</v>
      </c>
      <c r="J37" s="7">
        <f t="shared" si="2"/>
        <v>0.7657822037562194</v>
      </c>
      <c r="K37" s="9">
        <f t="shared" si="3"/>
        <v>31596723</v>
      </c>
      <c r="L37" s="9">
        <f t="shared" si="3"/>
        <v>438480</v>
      </c>
      <c r="M37" s="7">
        <f t="shared" si="4"/>
        <v>1.387738848740738</v>
      </c>
    </row>
    <row r="38" spans="1:13" ht="12.75">
      <c r="A38" s="6" t="s">
        <v>40</v>
      </c>
      <c r="B38" s="2">
        <f>498386+20+115+41</f>
        <v>498562</v>
      </c>
      <c r="C38" s="2">
        <f>6937</f>
        <v>6937</v>
      </c>
      <c r="D38" s="7">
        <f t="shared" si="0"/>
        <v>1.3914016712063895</v>
      </c>
      <c r="E38" s="2">
        <f>51956+806+11809+6+14350+1</f>
        <v>78928</v>
      </c>
      <c r="F38" s="2">
        <f>320</f>
        <v>320</v>
      </c>
      <c r="G38" s="7">
        <f t="shared" si="1"/>
        <v>0.4054327995134806</v>
      </c>
      <c r="H38" s="2">
        <f>26474+52+1053</f>
        <v>27579</v>
      </c>
      <c r="I38" s="2">
        <f>14</f>
        <v>14</v>
      </c>
      <c r="J38" s="7">
        <f t="shared" si="2"/>
        <v>0.050763261902171945</v>
      </c>
      <c r="K38" s="9">
        <f t="shared" si="3"/>
        <v>605069</v>
      </c>
      <c r="L38" s="9">
        <f t="shared" si="3"/>
        <v>7271</v>
      </c>
      <c r="M38" s="7">
        <f t="shared" si="4"/>
        <v>1.2016811305818014</v>
      </c>
    </row>
    <row r="39" spans="1:13" ht="12.75">
      <c r="A39" s="6" t="s">
        <v>41</v>
      </c>
      <c r="B39" s="2">
        <f>984515+278008+7116</f>
        <v>1269639</v>
      </c>
      <c r="C39" s="2">
        <v>85305</v>
      </c>
      <c r="D39" s="7">
        <f t="shared" si="0"/>
        <v>6.718838977063559</v>
      </c>
      <c r="E39" s="2">
        <f>279252+2+12403+34775</f>
        <v>326432</v>
      </c>
      <c r="F39" s="2">
        <f>7681+394</f>
        <v>8075</v>
      </c>
      <c r="G39" s="7">
        <f t="shared" si="1"/>
        <v>2.473715812175277</v>
      </c>
      <c r="H39" s="2">
        <f>159762+2842+1599</f>
        <v>164203</v>
      </c>
      <c r="I39" s="2">
        <v>144</v>
      </c>
      <c r="J39" s="7">
        <f t="shared" si="2"/>
        <v>0.0876963271073001</v>
      </c>
      <c r="K39" s="9">
        <f t="shared" si="3"/>
        <v>1760274</v>
      </c>
      <c r="L39" s="9">
        <f t="shared" si="3"/>
        <v>93524</v>
      </c>
      <c r="M39" s="7">
        <f t="shared" si="4"/>
        <v>5.313036493182311</v>
      </c>
    </row>
    <row r="40" spans="1:13" ht="12.75">
      <c r="A40" s="6" t="s">
        <v>42</v>
      </c>
      <c r="B40" s="2">
        <f>3073528+38+8315+737</f>
        <v>3082618</v>
      </c>
      <c r="C40" s="2">
        <v>36651</v>
      </c>
      <c r="D40" s="7">
        <f t="shared" si="0"/>
        <v>1.1889569190863092</v>
      </c>
      <c r="E40" s="2">
        <f>500402+350343+63750+289+33+122+5313</f>
        <v>920252</v>
      </c>
      <c r="F40" s="2">
        <f>195+17+38+10</f>
        <v>260</v>
      </c>
      <c r="G40" s="7">
        <f t="shared" si="1"/>
        <v>0.02825313066420937</v>
      </c>
      <c r="H40" s="2">
        <f>451842+1340+5489</f>
        <v>458671</v>
      </c>
      <c r="I40" s="2">
        <f>284</f>
        <v>284</v>
      </c>
      <c r="J40" s="7">
        <f t="shared" si="2"/>
        <v>0.06191801966987231</v>
      </c>
      <c r="K40" s="9">
        <f t="shared" si="3"/>
        <v>4461541</v>
      </c>
      <c r="L40" s="9">
        <f t="shared" si="3"/>
        <v>37195</v>
      </c>
      <c r="M40" s="7">
        <f t="shared" si="4"/>
        <v>0.8336805601472674</v>
      </c>
    </row>
    <row r="41" spans="1:13" ht="12.75">
      <c r="A41" s="6" t="s">
        <v>43</v>
      </c>
      <c r="B41" s="2">
        <f>230048+98</f>
        <v>230146</v>
      </c>
      <c r="C41" s="2">
        <v>10352</v>
      </c>
      <c r="D41" s="7">
        <f t="shared" si="0"/>
        <v>4.498014303963571</v>
      </c>
      <c r="E41" s="2">
        <f>56581+51515+22169+1196</f>
        <v>131461</v>
      </c>
      <c r="F41" s="2">
        <f>208+76</f>
        <v>284</v>
      </c>
      <c r="G41" s="7">
        <f t="shared" si="1"/>
        <v>0.21603365256616028</v>
      </c>
      <c r="H41" s="2">
        <f>32807+232</f>
        <v>33039</v>
      </c>
      <c r="I41" s="2">
        <v>36</v>
      </c>
      <c r="J41" s="7">
        <f t="shared" si="2"/>
        <v>0.1089621356578589</v>
      </c>
      <c r="K41" s="9">
        <f t="shared" si="3"/>
        <v>394646</v>
      </c>
      <c r="L41" s="9">
        <f t="shared" si="3"/>
        <v>10672</v>
      </c>
      <c r="M41" s="7">
        <f t="shared" si="4"/>
        <v>2.7041956588943</v>
      </c>
    </row>
    <row r="42" spans="1:13" ht="12.75">
      <c r="A42" s="1" t="s">
        <v>44</v>
      </c>
      <c r="B42" s="11">
        <f>431903+39+1100+260</f>
        <v>433302</v>
      </c>
      <c r="C42" s="2">
        <v>12021</v>
      </c>
      <c r="D42" s="7">
        <f t="shared" si="0"/>
        <v>2.774277524682554</v>
      </c>
      <c r="E42" s="2">
        <f>106362.71+326621.63+8420.22+53954+3584+103+1</f>
        <v>499046.56</v>
      </c>
      <c r="F42" s="2">
        <f>6+71</f>
        <v>77</v>
      </c>
      <c r="G42" s="7">
        <f t="shared" si="1"/>
        <v>0.015429422056330777</v>
      </c>
      <c r="H42" s="2">
        <f>242919+1154+1</f>
        <v>244074</v>
      </c>
      <c r="I42" s="2">
        <v>0</v>
      </c>
      <c r="J42" s="7">
        <f t="shared" si="2"/>
        <v>0</v>
      </c>
      <c r="K42" s="9">
        <f t="shared" si="3"/>
        <v>1176422.56</v>
      </c>
      <c r="L42" s="9">
        <f t="shared" si="3"/>
        <v>12098</v>
      </c>
      <c r="M42" s="7">
        <f t="shared" si="4"/>
        <v>1.0283719822578037</v>
      </c>
    </row>
    <row r="43" spans="1:13" ht="12.75">
      <c r="A43" s="6" t="s">
        <v>45</v>
      </c>
      <c r="B43" s="2">
        <f>730150+270+218+47</f>
        <v>730685</v>
      </c>
      <c r="C43" s="2">
        <f>9651</f>
        <v>9651</v>
      </c>
      <c r="D43" s="7">
        <f t="shared" si="0"/>
        <v>1.3208153992486502</v>
      </c>
      <c r="E43" s="2">
        <f>26732+8148+2939+13+1</f>
        <v>37833</v>
      </c>
      <c r="F43" s="2">
        <f>196</f>
        <v>196</v>
      </c>
      <c r="G43" s="7">
        <f t="shared" si="1"/>
        <v>0.5180662384690614</v>
      </c>
      <c r="H43" s="2">
        <f>28128+39</f>
        <v>28167</v>
      </c>
      <c r="I43" s="2">
        <v>11</v>
      </c>
      <c r="J43" s="7">
        <f t="shared" si="2"/>
        <v>0.03905279227464764</v>
      </c>
      <c r="K43" s="9">
        <f t="shared" si="3"/>
        <v>796685</v>
      </c>
      <c r="L43" s="9">
        <f t="shared" si="3"/>
        <v>9858</v>
      </c>
      <c r="M43" s="7">
        <f t="shared" si="4"/>
        <v>1.237377382528854</v>
      </c>
    </row>
    <row r="44" spans="1:13" ht="12.75">
      <c r="A44" s="6" t="s">
        <v>46</v>
      </c>
      <c r="B44" s="2">
        <f>1076720+91+90</f>
        <v>1076901</v>
      </c>
      <c r="C44" s="2">
        <v>17070</v>
      </c>
      <c r="D44" s="7">
        <f t="shared" si="0"/>
        <v>1.585103923201854</v>
      </c>
      <c r="E44" s="2">
        <f>100601+47906+27511</f>
        <v>176018</v>
      </c>
      <c r="F44" s="2">
        <f>819+39+58</f>
        <v>916</v>
      </c>
      <c r="G44" s="7">
        <f t="shared" si="1"/>
        <v>0.5204013225920077</v>
      </c>
      <c r="H44" s="2">
        <f>42971+857+1984</f>
        <v>45812</v>
      </c>
      <c r="I44" s="2">
        <f>54</f>
        <v>54</v>
      </c>
      <c r="J44" s="7">
        <f t="shared" si="2"/>
        <v>0.11787304636339824</v>
      </c>
      <c r="K44" s="9">
        <f t="shared" si="3"/>
        <v>1298731</v>
      </c>
      <c r="L44" s="9">
        <f t="shared" si="3"/>
        <v>18040</v>
      </c>
      <c r="M44" s="7">
        <f t="shared" si="4"/>
        <v>1.3890482324669235</v>
      </c>
    </row>
    <row r="45" spans="1:13" ht="12.75">
      <c r="A45" s="6" t="s">
        <v>47</v>
      </c>
      <c r="B45" s="2">
        <f>1325759+1457+198+207</f>
        <v>1327621</v>
      </c>
      <c r="C45" s="8">
        <f>24692+102</f>
        <v>24794</v>
      </c>
      <c r="D45" s="7">
        <f t="shared" si="0"/>
        <v>1.867551055609997</v>
      </c>
      <c r="E45" s="2">
        <f>201953+117772+55304+893</f>
        <v>375922</v>
      </c>
      <c r="F45" s="8">
        <f>2771+3+117</f>
        <v>2891</v>
      </c>
      <c r="G45" s="7">
        <f t="shared" si="1"/>
        <v>0.7690425141385713</v>
      </c>
      <c r="H45" s="2">
        <f>139366+5820+1677</f>
        <v>146863</v>
      </c>
      <c r="I45" s="2">
        <f>2104+11</f>
        <v>2115</v>
      </c>
      <c r="J45" s="7">
        <f t="shared" si="2"/>
        <v>1.4401176606769575</v>
      </c>
      <c r="K45" s="9">
        <f t="shared" si="3"/>
        <v>1850406</v>
      </c>
      <c r="L45" s="9">
        <f t="shared" si="3"/>
        <v>29800</v>
      </c>
      <c r="M45" s="7">
        <f t="shared" si="4"/>
        <v>1.610457380704559</v>
      </c>
    </row>
    <row r="46" spans="1:13" ht="12.75">
      <c r="A46" s="6" t="s">
        <v>48</v>
      </c>
      <c r="B46" s="2">
        <f>994456+4764+354+20+1545</f>
        <v>1001139</v>
      </c>
      <c r="C46" s="2">
        <f>22515+47</f>
        <v>22562</v>
      </c>
      <c r="D46" s="7">
        <f t="shared" si="0"/>
        <v>2.2536331118855624</v>
      </c>
      <c r="E46" s="2">
        <f>126985+80175+44462+143</f>
        <v>251765</v>
      </c>
      <c r="F46" s="2">
        <f>587+279</f>
        <v>866</v>
      </c>
      <c r="G46" s="7">
        <f t="shared" si="1"/>
        <v>0.343971560780887</v>
      </c>
      <c r="H46" s="2">
        <f>85495+47+603</f>
        <v>86145</v>
      </c>
      <c r="I46" s="2">
        <v>78</v>
      </c>
      <c r="J46" s="7">
        <f t="shared" si="2"/>
        <v>0.09054501131812642</v>
      </c>
      <c r="K46" s="9">
        <f t="shared" si="3"/>
        <v>1339049</v>
      </c>
      <c r="L46" s="9">
        <f t="shared" si="3"/>
        <v>23506</v>
      </c>
      <c r="M46" s="7">
        <f t="shared" si="4"/>
        <v>1.7554249321720117</v>
      </c>
    </row>
    <row r="47" spans="1:13" ht="12.75">
      <c r="A47" s="6" t="s">
        <v>49</v>
      </c>
      <c r="B47" s="2">
        <f>319240+3143+163+402</f>
        <v>322948</v>
      </c>
      <c r="C47" s="2">
        <f>4842</f>
        <v>4842</v>
      </c>
      <c r="D47" s="7">
        <f t="shared" si="0"/>
        <v>1.4993125828306724</v>
      </c>
      <c r="E47" s="2">
        <f>26824+53+122+3655+59+3762+1180+28</f>
        <v>35683</v>
      </c>
      <c r="F47" s="2">
        <f>915</f>
        <v>915</v>
      </c>
      <c r="G47" s="7">
        <f t="shared" si="1"/>
        <v>2.5642462797410532</v>
      </c>
      <c r="H47" s="2">
        <f>16681+9+2395</f>
        <v>19085</v>
      </c>
      <c r="I47" s="2">
        <v>0</v>
      </c>
      <c r="J47" s="7">
        <f t="shared" si="2"/>
        <v>0</v>
      </c>
      <c r="K47" s="9">
        <f t="shared" si="3"/>
        <v>377716</v>
      </c>
      <c r="L47" s="9">
        <f t="shared" si="3"/>
        <v>5757</v>
      </c>
      <c r="M47" s="7">
        <f t="shared" si="4"/>
        <v>1.5241610098592593</v>
      </c>
    </row>
    <row r="48" spans="1:13" ht="12.75">
      <c r="A48" s="6" t="s">
        <v>50</v>
      </c>
      <c r="B48" s="2">
        <f>1442187+609+3987+1160</f>
        <v>1447943</v>
      </c>
      <c r="C48" s="2">
        <f>36818</f>
        <v>36818</v>
      </c>
      <c r="D48" s="7">
        <f t="shared" si="0"/>
        <v>2.5427796536189615</v>
      </c>
      <c r="E48" s="2">
        <f>159218+56+109150+20679+36904+698+197+8</f>
        <v>326910</v>
      </c>
      <c r="F48" s="2">
        <f>768+877+119</f>
        <v>1764</v>
      </c>
      <c r="G48" s="7">
        <f>F48/E48*100</f>
        <v>0.5395980545104156</v>
      </c>
      <c r="H48" s="2">
        <f>74599+31362+1630</f>
        <v>107591</v>
      </c>
      <c r="I48" s="2">
        <f>177</f>
        <v>177</v>
      </c>
      <c r="J48" s="7">
        <f t="shared" si="2"/>
        <v>0.16451190155310388</v>
      </c>
      <c r="K48" s="9">
        <f t="shared" si="3"/>
        <v>1882444</v>
      </c>
      <c r="L48" s="9">
        <f t="shared" si="3"/>
        <v>38759</v>
      </c>
      <c r="M48" s="7">
        <f t="shared" si="4"/>
        <v>2.0589722722163315</v>
      </c>
    </row>
    <row r="49" spans="1:13" ht="12.75">
      <c r="A49" s="6" t="s">
        <v>51</v>
      </c>
      <c r="B49" s="2">
        <f>418790+215+460+111+28600</f>
        <v>448176</v>
      </c>
      <c r="C49" s="2">
        <v>6096</v>
      </c>
      <c r="D49" s="7">
        <f t="shared" si="0"/>
        <v>1.360179929313484</v>
      </c>
      <c r="E49" s="2">
        <f>715800+71405+63</f>
        <v>787268</v>
      </c>
      <c r="F49" s="2">
        <f>266+18</f>
        <v>284</v>
      </c>
      <c r="G49" s="7">
        <f aca="true" t="shared" si="5" ref="G49:G112">F49/E49*100</f>
        <v>0.03607411961365126</v>
      </c>
      <c r="H49" s="2">
        <f>100914+1283+3</f>
        <v>102200</v>
      </c>
      <c r="I49" s="2">
        <f>894</f>
        <v>894</v>
      </c>
      <c r="J49" s="7">
        <f t="shared" si="2"/>
        <v>0.8747553816046966</v>
      </c>
      <c r="K49" s="9">
        <f t="shared" si="3"/>
        <v>1337644</v>
      </c>
      <c r="L49" s="9">
        <f t="shared" si="3"/>
        <v>7274</v>
      </c>
      <c r="M49" s="7">
        <f t="shared" si="4"/>
        <v>0.5437919207203112</v>
      </c>
    </row>
    <row r="50" spans="1:13" ht="12.75">
      <c r="A50" s="6" t="s">
        <v>52</v>
      </c>
      <c r="B50" s="2">
        <f>5508991+5263+891+8303+3443</f>
        <v>5526891</v>
      </c>
      <c r="C50" s="2">
        <f>55002+1865</f>
        <v>56867</v>
      </c>
      <c r="D50" s="7">
        <f t="shared" si="0"/>
        <v>1.0289148094290261</v>
      </c>
      <c r="E50" s="2">
        <f>769013+642547+54+142478+104+2873</f>
        <v>1557069</v>
      </c>
      <c r="F50" s="2">
        <f>8804+4682+188</f>
        <v>13674</v>
      </c>
      <c r="G50" s="7">
        <f t="shared" si="5"/>
        <v>0.878188442516035</v>
      </c>
      <c r="H50" s="2">
        <f>548637+33341+1169+9023</f>
        <v>592170</v>
      </c>
      <c r="I50" s="2">
        <f>2779</f>
        <v>2779</v>
      </c>
      <c r="J50" s="7">
        <f t="shared" si="2"/>
        <v>0.4692909130823919</v>
      </c>
      <c r="K50" s="9">
        <f aca="true" t="shared" si="6" ref="K50:L65">(B50+E50+H50)</f>
        <v>7676130</v>
      </c>
      <c r="L50" s="9">
        <f t="shared" si="6"/>
        <v>73320</v>
      </c>
      <c r="M50" s="7">
        <f t="shared" si="4"/>
        <v>0.9551688155359537</v>
      </c>
    </row>
    <row r="51" spans="1:13" ht="12.75">
      <c r="A51" s="6" t="s">
        <v>53</v>
      </c>
      <c r="B51" s="2">
        <f>652215+18895+1769</f>
        <v>672879</v>
      </c>
      <c r="C51" s="2">
        <f>41936</f>
        <v>41936</v>
      </c>
      <c r="D51" s="7">
        <f t="shared" si="0"/>
        <v>6.232324087986101</v>
      </c>
      <c r="E51" s="2">
        <f>580501+50397+14743+103+1</f>
        <v>645745</v>
      </c>
      <c r="F51" s="2">
        <f>11655+873+132</f>
        <v>12660</v>
      </c>
      <c r="G51" s="7">
        <f t="shared" si="5"/>
        <v>1.9605262139079667</v>
      </c>
      <c r="H51" s="2">
        <f>96550+1015+6</f>
        <v>97571</v>
      </c>
      <c r="I51" s="2">
        <f>599+29</f>
        <v>628</v>
      </c>
      <c r="J51" s="7">
        <f t="shared" si="2"/>
        <v>0.6436338666202048</v>
      </c>
      <c r="K51" s="9">
        <f t="shared" si="6"/>
        <v>1416195</v>
      </c>
      <c r="L51" s="9">
        <f t="shared" si="6"/>
        <v>55224</v>
      </c>
      <c r="M51" s="7">
        <f t="shared" si="4"/>
        <v>3.8994629976804043</v>
      </c>
    </row>
    <row r="52" spans="1:13" ht="12.75">
      <c r="A52" s="6" t="s">
        <v>54</v>
      </c>
      <c r="B52" s="2">
        <f>880118+104+47</f>
        <v>880269</v>
      </c>
      <c r="C52" s="2">
        <v>12864</v>
      </c>
      <c r="D52" s="7">
        <f t="shared" si="0"/>
        <v>1.46137146713107</v>
      </c>
      <c r="E52" s="2">
        <f>116146+139113+16351+289</f>
        <v>271899</v>
      </c>
      <c r="F52" s="2">
        <f>339</f>
        <v>339</v>
      </c>
      <c r="G52" s="7">
        <f t="shared" si="5"/>
        <v>0.12467864905718667</v>
      </c>
      <c r="H52" s="2">
        <f>43057+1275+328</f>
        <v>44660</v>
      </c>
      <c r="I52" s="2">
        <v>0</v>
      </c>
      <c r="J52" s="7">
        <f t="shared" si="2"/>
        <v>0</v>
      </c>
      <c r="K52" s="9">
        <f t="shared" si="6"/>
        <v>1196828</v>
      </c>
      <c r="L52" s="9">
        <f t="shared" si="6"/>
        <v>13203</v>
      </c>
      <c r="M52" s="7">
        <f t="shared" si="4"/>
        <v>1.103166035553981</v>
      </c>
    </row>
    <row r="53" spans="1:13" ht="12.75">
      <c r="A53" s="6" t="s">
        <v>55</v>
      </c>
      <c r="B53" s="2">
        <f>596550+432+1172</f>
        <v>598154</v>
      </c>
      <c r="C53" s="2">
        <v>11333</v>
      </c>
      <c r="D53" s="7">
        <f t="shared" si="0"/>
        <v>1.8946625785332873</v>
      </c>
      <c r="E53" s="2">
        <f>41290+346+123672+661+22208+326+69</f>
        <v>188572</v>
      </c>
      <c r="F53" s="2">
        <f>17+438+9</f>
        <v>464</v>
      </c>
      <c r="G53" s="7">
        <f t="shared" si="5"/>
        <v>0.24605986042466535</v>
      </c>
      <c r="H53" s="2">
        <f>18174+128+14+1113</f>
        <v>19429</v>
      </c>
      <c r="I53" s="2">
        <v>0</v>
      </c>
      <c r="J53" s="7">
        <f t="shared" si="2"/>
        <v>0</v>
      </c>
      <c r="K53" s="9">
        <f t="shared" si="6"/>
        <v>806155</v>
      </c>
      <c r="L53" s="9">
        <f t="shared" si="6"/>
        <v>11797</v>
      </c>
      <c r="M53" s="7">
        <f t="shared" si="4"/>
        <v>1.463366226097959</v>
      </c>
    </row>
    <row r="54" spans="1:13" ht="12.75">
      <c r="A54" s="6" t="s">
        <v>56</v>
      </c>
      <c r="B54" s="2">
        <f>2116795+651+24315+3973+16806</f>
        <v>2162540</v>
      </c>
      <c r="C54" s="2">
        <v>23862</v>
      </c>
      <c r="D54" s="7">
        <f t="shared" si="0"/>
        <v>1.103424676537775</v>
      </c>
      <c r="E54" s="2">
        <f>514987+417090+308+121455+4413+32</f>
        <v>1058285</v>
      </c>
      <c r="F54" s="2">
        <f>1679+2331+76</f>
        <v>4086</v>
      </c>
      <c r="G54" s="7">
        <f t="shared" si="5"/>
        <v>0.3860963729052193</v>
      </c>
      <c r="H54" s="2">
        <f>362220+7426+194</f>
        <v>369840</v>
      </c>
      <c r="I54" s="2">
        <f>289</f>
        <v>289</v>
      </c>
      <c r="J54" s="7">
        <f t="shared" si="2"/>
        <v>0.0781418991996539</v>
      </c>
      <c r="K54" s="9">
        <f t="shared" si="6"/>
        <v>3590665</v>
      </c>
      <c r="L54" s="9">
        <f t="shared" si="6"/>
        <v>28237</v>
      </c>
      <c r="M54" s="7">
        <f t="shared" si="4"/>
        <v>0.7864002907539411</v>
      </c>
    </row>
    <row r="55" spans="1:13" ht="12.75">
      <c r="A55" s="6" t="s">
        <v>57</v>
      </c>
      <c r="B55" s="2">
        <f>745344+208+293+342</f>
        <v>746187</v>
      </c>
      <c r="C55" s="2">
        <f>142+20834</f>
        <v>20976</v>
      </c>
      <c r="D55" s="7">
        <f t="shared" si="0"/>
        <v>2.8110915896417383</v>
      </c>
      <c r="E55" s="2">
        <f>77529+49+38898+14942+23+22+11</f>
        <v>131474</v>
      </c>
      <c r="F55" s="2">
        <f>1026+23</f>
        <v>1049</v>
      </c>
      <c r="G55" s="7">
        <f t="shared" si="5"/>
        <v>0.7978763862056376</v>
      </c>
      <c r="H55" s="2">
        <f>25199+3+513</f>
        <v>25715</v>
      </c>
      <c r="I55" s="2">
        <f>195</f>
        <v>195</v>
      </c>
      <c r="J55" s="7">
        <f t="shared" si="2"/>
        <v>0.758312269103636</v>
      </c>
      <c r="K55" s="9">
        <f t="shared" si="6"/>
        <v>903376</v>
      </c>
      <c r="L55" s="9">
        <f t="shared" si="6"/>
        <v>22220</v>
      </c>
      <c r="M55" s="7">
        <f t="shared" si="4"/>
        <v>2.4596624218487095</v>
      </c>
    </row>
    <row r="56" spans="1:13" ht="12.75">
      <c r="A56" s="6" t="s">
        <v>58</v>
      </c>
      <c r="B56" s="2">
        <f>173950+6+52+18</f>
        <v>174026</v>
      </c>
      <c r="C56" s="2">
        <v>3427</v>
      </c>
      <c r="D56" s="7">
        <f t="shared" si="0"/>
        <v>1.9692459747394069</v>
      </c>
      <c r="E56" s="8">
        <f>14278+810+3085+138+8</f>
        <v>18319</v>
      </c>
      <c r="F56" s="2">
        <f>0</f>
        <v>0</v>
      </c>
      <c r="G56" s="7">
        <f t="shared" si="5"/>
        <v>0</v>
      </c>
      <c r="H56" s="2">
        <f>9149+1+722</f>
        <v>9872</v>
      </c>
      <c r="I56" s="2">
        <f>0</f>
        <v>0</v>
      </c>
      <c r="J56" s="7">
        <f t="shared" si="2"/>
        <v>0</v>
      </c>
      <c r="K56" s="9">
        <f t="shared" si="6"/>
        <v>202217</v>
      </c>
      <c r="L56" s="9">
        <f t="shared" si="6"/>
        <v>3427</v>
      </c>
      <c r="M56" s="7">
        <f t="shared" si="4"/>
        <v>1.6947140942650718</v>
      </c>
    </row>
    <row r="57" spans="1:13" ht="12.75">
      <c r="A57" s="6" t="s">
        <v>59</v>
      </c>
      <c r="B57" s="8">
        <f>1675151+365+9568+4530</f>
        <v>1689614</v>
      </c>
      <c r="C57" s="2">
        <f>31891+8</f>
        <v>31899</v>
      </c>
      <c r="D57" s="7">
        <f t="shared" si="0"/>
        <v>1.887946004235287</v>
      </c>
      <c r="E57" s="8">
        <f>340221+74878+206924+1215+6317+133+65312+954+6</f>
        <v>695960</v>
      </c>
      <c r="F57" s="2">
        <f>14537+43+2</f>
        <v>14582</v>
      </c>
      <c r="G57" s="7">
        <f t="shared" si="5"/>
        <v>2.0952353583539285</v>
      </c>
      <c r="H57" s="2">
        <f>3228266+3364</f>
        <v>3231630</v>
      </c>
      <c r="I57" s="2">
        <v>227</v>
      </c>
      <c r="J57" s="7">
        <f t="shared" si="2"/>
        <v>0.00702431899691487</v>
      </c>
      <c r="K57" s="9">
        <f t="shared" si="6"/>
        <v>5617204</v>
      </c>
      <c r="L57" s="9">
        <f t="shared" si="6"/>
        <v>46708</v>
      </c>
      <c r="M57" s="7">
        <f t="shared" si="4"/>
        <v>0.8315168898975362</v>
      </c>
    </row>
    <row r="58" spans="1:13" ht="12.75">
      <c r="A58" s="6" t="s">
        <v>60</v>
      </c>
      <c r="B58" s="2">
        <f>257001+484+114</f>
        <v>257599</v>
      </c>
      <c r="C58" s="2">
        <v>11970</v>
      </c>
      <c r="D58" s="7">
        <f t="shared" si="0"/>
        <v>4.646757169088389</v>
      </c>
      <c r="E58" s="2">
        <f>20855+186+10207+5453+1</f>
        <v>36702</v>
      </c>
      <c r="F58" s="2">
        <f>421+19</f>
        <v>440</v>
      </c>
      <c r="G58" s="7">
        <f t="shared" si="5"/>
        <v>1.1988447496049262</v>
      </c>
      <c r="H58" s="2">
        <f>12836+639</f>
        <v>13475</v>
      </c>
      <c r="I58" s="2">
        <v>0</v>
      </c>
      <c r="J58" s="7">
        <f t="shared" si="2"/>
        <v>0</v>
      </c>
      <c r="K58" s="9">
        <f t="shared" si="6"/>
        <v>307776</v>
      </c>
      <c r="L58" s="9">
        <f t="shared" si="6"/>
        <v>12410</v>
      </c>
      <c r="M58" s="7">
        <f t="shared" si="4"/>
        <v>4.032153254314826</v>
      </c>
    </row>
    <row r="59" spans="1:13" ht="12.75">
      <c r="A59" s="6" t="s">
        <v>61</v>
      </c>
      <c r="B59" s="2">
        <f>55279176+30232+429+6013+14853</f>
        <v>55330703</v>
      </c>
      <c r="C59" s="8">
        <f>118213</f>
        <v>118213</v>
      </c>
      <c r="D59" s="7">
        <f t="shared" si="0"/>
        <v>0.21364810781457086</v>
      </c>
      <c r="E59" s="2">
        <f>9236758+3364883+1273912+21108+9460</f>
        <v>13906121</v>
      </c>
      <c r="F59" s="2">
        <f>117554+1578+8565</f>
        <v>127697</v>
      </c>
      <c r="G59" s="7">
        <f>F59/E59*100</f>
        <v>0.9182790801259388</v>
      </c>
      <c r="H59" s="2">
        <f>491937+3145+156893</f>
        <v>651975</v>
      </c>
      <c r="I59" s="2">
        <f>92078+5704+12</f>
        <v>97794</v>
      </c>
      <c r="J59" s="7">
        <f t="shared" si="2"/>
        <v>14.999654894742898</v>
      </c>
      <c r="K59" s="9">
        <f t="shared" si="6"/>
        <v>69888799</v>
      </c>
      <c r="L59" s="9">
        <f t="shared" si="6"/>
        <v>343704</v>
      </c>
      <c r="M59" s="7">
        <f t="shared" si="4"/>
        <v>0.49178696002488176</v>
      </c>
    </row>
    <row r="60" spans="1:13" ht="12.75">
      <c r="A60" s="6" t="s">
        <v>62</v>
      </c>
      <c r="B60" s="2">
        <f>3134958+922+532+8478</f>
        <v>3144890</v>
      </c>
      <c r="C60" s="2">
        <f>48979</f>
        <v>48979</v>
      </c>
      <c r="D60" s="7">
        <f t="shared" si="0"/>
        <v>1.5574153626994902</v>
      </c>
      <c r="E60" s="2">
        <f>313694+36+174913+74279+2+1964</f>
        <v>564888</v>
      </c>
      <c r="F60" s="2">
        <f>6801+119+127</f>
        <v>7047</v>
      </c>
      <c r="G60" s="7">
        <f>F60/E60*100</f>
        <v>1.2475039299825808</v>
      </c>
      <c r="H60" s="2">
        <f>189605+3612+769</f>
        <v>193986</v>
      </c>
      <c r="I60" s="2">
        <f>642+13</f>
        <v>655</v>
      </c>
      <c r="J60" s="7">
        <f t="shared" si="2"/>
        <v>0.33765323270751496</v>
      </c>
      <c r="K60" s="9">
        <f t="shared" si="6"/>
        <v>3903764</v>
      </c>
      <c r="L60" s="9">
        <f t="shared" si="6"/>
        <v>56681</v>
      </c>
      <c r="M60" s="7">
        <f t="shared" si="4"/>
        <v>1.4519576490791963</v>
      </c>
    </row>
    <row r="61" spans="1:13" ht="12.75">
      <c r="A61" s="1" t="s">
        <v>63</v>
      </c>
      <c r="B61" s="2">
        <f>725151+22200+925</f>
        <v>748276</v>
      </c>
      <c r="C61" s="2">
        <v>46420</v>
      </c>
      <c r="D61" s="7">
        <f t="shared" si="0"/>
        <v>6.203593326526575</v>
      </c>
      <c r="E61" s="8">
        <f>156939+115+9254+19061+1688+11+48</f>
        <v>187116</v>
      </c>
      <c r="F61" s="2">
        <f>1752+76</f>
        <v>1828</v>
      </c>
      <c r="G61" s="7">
        <f t="shared" si="5"/>
        <v>0.9769340943585798</v>
      </c>
      <c r="H61" s="2">
        <f>104372+1332+2445</f>
        <v>108149</v>
      </c>
      <c r="I61" s="2">
        <v>1972</v>
      </c>
      <c r="J61" s="7">
        <f t="shared" si="2"/>
        <v>1.823410295055895</v>
      </c>
      <c r="K61" s="9">
        <f t="shared" si="6"/>
        <v>1043541</v>
      </c>
      <c r="L61" s="9">
        <f t="shared" si="6"/>
        <v>50220</v>
      </c>
      <c r="M61" s="7">
        <f t="shared" si="4"/>
        <v>4.812460650803371</v>
      </c>
    </row>
    <row r="62" spans="1:13" ht="12.75">
      <c r="A62" s="6" t="s">
        <v>64</v>
      </c>
      <c r="B62" s="2">
        <f>10467165+685+1701</f>
        <v>10469551</v>
      </c>
      <c r="C62" s="2">
        <v>16896</v>
      </c>
      <c r="D62" s="7">
        <f t="shared" si="0"/>
        <v>0.16138227895351004</v>
      </c>
      <c r="E62" s="2">
        <f>1448560+2703+48+454093+4+187912+484+301</f>
        <v>2094105</v>
      </c>
      <c r="F62" s="2">
        <f>9401+742+515</f>
        <v>10658</v>
      </c>
      <c r="G62" s="7">
        <f t="shared" si="5"/>
        <v>0.5089525119323053</v>
      </c>
      <c r="H62" s="2">
        <f>847537+64262+7754</f>
        <v>919553</v>
      </c>
      <c r="I62" s="2">
        <f>3060+47</f>
        <v>3107</v>
      </c>
      <c r="J62" s="7">
        <f t="shared" si="2"/>
        <v>0.3378815576698679</v>
      </c>
      <c r="K62" s="9">
        <f t="shared" si="6"/>
        <v>13483209</v>
      </c>
      <c r="L62" s="9">
        <f t="shared" si="6"/>
        <v>30661</v>
      </c>
      <c r="M62" s="7">
        <f t="shared" si="4"/>
        <v>0.22740135527084096</v>
      </c>
    </row>
    <row r="63" spans="1:13" ht="12.75">
      <c r="A63" s="6" t="s">
        <v>65</v>
      </c>
      <c r="B63" s="2">
        <f>315777+247211+512</f>
        <v>563500</v>
      </c>
      <c r="C63" s="2">
        <f>19815</f>
        <v>19815</v>
      </c>
      <c r="D63" s="7">
        <f t="shared" si="0"/>
        <v>3.5164152617568765</v>
      </c>
      <c r="E63" s="2">
        <f>433716+50019+3847</f>
        <v>487582</v>
      </c>
      <c r="F63" s="2">
        <f>1681+54</f>
        <v>1735</v>
      </c>
      <c r="G63" s="7">
        <f t="shared" si="5"/>
        <v>0.3558375821913032</v>
      </c>
      <c r="H63" s="2">
        <f>20033+6+847</f>
        <v>20886</v>
      </c>
      <c r="I63" s="2">
        <f>88</f>
        <v>88</v>
      </c>
      <c r="J63" s="7">
        <f t="shared" si="2"/>
        <v>0.4213348654601168</v>
      </c>
      <c r="K63" s="9">
        <f t="shared" si="6"/>
        <v>1071968</v>
      </c>
      <c r="L63" s="9">
        <f t="shared" si="6"/>
        <v>21638</v>
      </c>
      <c r="M63" s="7">
        <f t="shared" si="4"/>
        <v>2.0185304038926537</v>
      </c>
    </row>
    <row r="64" spans="1:13" ht="12.75">
      <c r="A64" s="6" t="s">
        <v>66</v>
      </c>
      <c r="B64" s="2">
        <f>912655+49+55377+7779</f>
        <v>975860</v>
      </c>
      <c r="C64" s="8">
        <v>58029</v>
      </c>
      <c r="D64" s="7">
        <f t="shared" si="0"/>
        <v>5.946447236283893</v>
      </c>
      <c r="E64" s="2">
        <f>131175+523+87544+23735</f>
        <v>242977</v>
      </c>
      <c r="F64" s="8">
        <f>3553+943+271</f>
        <v>4767</v>
      </c>
      <c r="G64" s="7">
        <f t="shared" si="5"/>
        <v>1.961914090634093</v>
      </c>
      <c r="H64" s="2">
        <f>557218+8607+29050+6</f>
        <v>594881</v>
      </c>
      <c r="I64" s="2">
        <f>1704+156</f>
        <v>1860</v>
      </c>
      <c r="J64" s="7">
        <f t="shared" si="2"/>
        <v>0.3126675755319131</v>
      </c>
      <c r="K64" s="9">
        <f t="shared" si="6"/>
        <v>1813718</v>
      </c>
      <c r="L64" s="9">
        <f>(C64+F64+I64)</f>
        <v>64656</v>
      </c>
      <c r="M64" s="7">
        <f t="shared" si="4"/>
        <v>3.564832019090068</v>
      </c>
    </row>
    <row r="65" spans="1:13" ht="12.75">
      <c r="A65" s="6" t="s">
        <v>67</v>
      </c>
      <c r="B65" s="2">
        <f>555388+233</f>
        <v>555621</v>
      </c>
      <c r="C65" s="2">
        <v>9646</v>
      </c>
      <c r="D65" s="7">
        <f t="shared" si="0"/>
        <v>1.7360754903072417</v>
      </c>
      <c r="E65" s="2">
        <f>34598+8841+10471+124+2</f>
        <v>54036</v>
      </c>
      <c r="F65" s="2">
        <f>155+11</f>
        <v>166</v>
      </c>
      <c r="G65" s="7">
        <f t="shared" si="5"/>
        <v>0.30720260567029384</v>
      </c>
      <c r="H65" s="2">
        <f>16850+11+1863</f>
        <v>18724</v>
      </c>
      <c r="I65" s="2">
        <v>0</v>
      </c>
      <c r="J65" s="7">
        <f t="shared" si="2"/>
        <v>0</v>
      </c>
      <c r="K65" s="9">
        <f t="shared" si="6"/>
        <v>628381</v>
      </c>
      <c r="L65" s="9">
        <f t="shared" si="6"/>
        <v>9812</v>
      </c>
      <c r="M65" s="7">
        <f t="shared" si="4"/>
        <v>1.561473055359726</v>
      </c>
    </row>
    <row r="66" spans="1:13" ht="12.75">
      <c r="A66" s="6" t="s">
        <v>68</v>
      </c>
      <c r="B66" s="2">
        <f>2265630+367+494+853</f>
        <v>2267344</v>
      </c>
      <c r="C66" s="2">
        <f>107692+43</f>
        <v>107735</v>
      </c>
      <c r="D66" s="7">
        <f t="shared" si="0"/>
        <v>4.751594817548638</v>
      </c>
      <c r="E66" s="2">
        <f>645117+53+232723+108545+80+654+5</f>
        <v>987177</v>
      </c>
      <c r="F66" s="2">
        <f>6333+2947+362+5</f>
        <v>9647</v>
      </c>
      <c r="G66" s="7">
        <f t="shared" si="5"/>
        <v>0.9772310335431235</v>
      </c>
      <c r="H66" s="2">
        <f>352174+2707+5869</f>
        <v>360750</v>
      </c>
      <c r="I66" s="2">
        <f>302</f>
        <v>302</v>
      </c>
      <c r="J66" s="7">
        <f t="shared" si="2"/>
        <v>0.08371448371448371</v>
      </c>
      <c r="K66" s="9">
        <f aca="true" t="shared" si="7" ref="K66:L99">(B66+E66+H66)</f>
        <v>3615271</v>
      </c>
      <c r="L66" s="9">
        <f t="shared" si="7"/>
        <v>117684</v>
      </c>
      <c r="M66" s="7">
        <f t="shared" si="4"/>
        <v>3.25519165783146</v>
      </c>
    </row>
    <row r="67" spans="1:13" ht="12.75">
      <c r="A67" s="6" t="s">
        <v>69</v>
      </c>
      <c r="B67" s="2">
        <f>460486+249+474+20329</f>
        <v>481538</v>
      </c>
      <c r="C67" s="2">
        <f>18230</f>
        <v>18230</v>
      </c>
      <c r="D67" s="7">
        <f t="shared" si="0"/>
        <v>3.785786376153076</v>
      </c>
      <c r="E67" s="8">
        <f>79108+4085+6491</f>
        <v>89684</v>
      </c>
      <c r="F67" s="2">
        <f>3004+1</f>
        <v>3005</v>
      </c>
      <c r="G67" s="7">
        <f t="shared" si="5"/>
        <v>3.350653405289684</v>
      </c>
      <c r="H67" s="2">
        <f>36170+51+364</f>
        <v>36585</v>
      </c>
      <c r="I67" s="8">
        <f>288</f>
        <v>288</v>
      </c>
      <c r="J67" s="7">
        <f t="shared" si="2"/>
        <v>0.7872078720787207</v>
      </c>
      <c r="K67" s="9">
        <f t="shared" si="7"/>
        <v>607807</v>
      </c>
      <c r="L67" s="9">
        <f t="shared" si="7"/>
        <v>21523</v>
      </c>
      <c r="M67" s="7">
        <f t="shared" si="4"/>
        <v>3.54109116874271</v>
      </c>
    </row>
    <row r="68" spans="1:13" ht="12.75">
      <c r="A68" s="6" t="s">
        <v>70</v>
      </c>
      <c r="B68" s="2">
        <f>182962+11+12771+229</f>
        <v>195973</v>
      </c>
      <c r="C68" s="2">
        <f>38+6965</f>
        <v>7003</v>
      </c>
      <c r="D68" s="7">
        <f aca="true" t="shared" si="8" ref="D68:D123">C68/B68*100</f>
        <v>3.5734514448418917</v>
      </c>
      <c r="E68" s="2">
        <f>31975+1611+4206+47+2</f>
        <v>37841</v>
      </c>
      <c r="F68" s="2">
        <f>62</f>
        <v>62</v>
      </c>
      <c r="G68" s="7">
        <f t="shared" si="5"/>
        <v>0.1638434502259454</v>
      </c>
      <c r="H68" s="2">
        <f>27282+18+2043</f>
        <v>29343</v>
      </c>
      <c r="I68" s="2">
        <v>0</v>
      </c>
      <c r="J68" s="7">
        <f aca="true" t="shared" si="9" ref="J68:J123">I68/H68*100</f>
        <v>0</v>
      </c>
      <c r="K68" s="9">
        <f t="shared" si="7"/>
        <v>263157</v>
      </c>
      <c r="L68" s="9">
        <f t="shared" si="7"/>
        <v>7065</v>
      </c>
      <c r="M68" s="7">
        <f aca="true" t="shared" si="10" ref="M68:M123">L68/K68*100</f>
        <v>2.6847091280110353</v>
      </c>
    </row>
    <row r="69" spans="1:13" ht="12.75">
      <c r="A69" s="6" t="s">
        <v>71</v>
      </c>
      <c r="B69" s="2">
        <f>211972+60392+168</f>
        <v>272532</v>
      </c>
      <c r="C69" s="2">
        <f>22323</f>
        <v>22323</v>
      </c>
      <c r="D69" s="7">
        <f t="shared" si="8"/>
        <v>8.190964730747215</v>
      </c>
      <c r="E69" s="2">
        <f>158058+13280+2080</f>
        <v>173418</v>
      </c>
      <c r="F69" s="2">
        <f>863+49</f>
        <v>912</v>
      </c>
      <c r="G69" s="7">
        <f t="shared" si="5"/>
        <v>0.5258969657129018</v>
      </c>
      <c r="H69" s="2">
        <f>8945+814</f>
        <v>9759</v>
      </c>
      <c r="I69" s="2">
        <v>42</v>
      </c>
      <c r="J69" s="7">
        <f t="shared" si="9"/>
        <v>0.43037196434060865</v>
      </c>
      <c r="K69" s="9">
        <f t="shared" si="7"/>
        <v>455709</v>
      </c>
      <c r="L69" s="9">
        <f t="shared" si="7"/>
        <v>23277</v>
      </c>
      <c r="M69" s="7">
        <f t="shared" si="10"/>
        <v>5.107864887461077</v>
      </c>
    </row>
    <row r="70" spans="1:13" ht="12.75">
      <c r="A70" s="6" t="s">
        <v>72</v>
      </c>
      <c r="B70" s="2">
        <f>428880+126487+1664</f>
        <v>557031</v>
      </c>
      <c r="C70" s="2">
        <v>34133</v>
      </c>
      <c r="D70" s="7">
        <f t="shared" si="8"/>
        <v>6.12766614425409</v>
      </c>
      <c r="E70" s="2">
        <f>345233+36893+9707</f>
        <v>391833</v>
      </c>
      <c r="F70" s="2">
        <f>3329+172+114</f>
        <v>3615</v>
      </c>
      <c r="G70" s="7">
        <f t="shared" si="5"/>
        <v>0.9225869184065661</v>
      </c>
      <c r="H70" s="2">
        <f>29389+617</f>
        <v>30006</v>
      </c>
      <c r="I70" s="2">
        <v>592</v>
      </c>
      <c r="J70" s="7">
        <f t="shared" si="9"/>
        <v>1.9729387455842164</v>
      </c>
      <c r="K70" s="9">
        <f t="shared" si="7"/>
        <v>978870</v>
      </c>
      <c r="L70" s="9">
        <f t="shared" si="7"/>
        <v>38340</v>
      </c>
      <c r="M70" s="7">
        <f t="shared" si="10"/>
        <v>3.9167611633822674</v>
      </c>
    </row>
    <row r="71" spans="1:13" ht="12.75">
      <c r="A71" s="6" t="s">
        <v>73</v>
      </c>
      <c r="B71" s="2">
        <v>331758</v>
      </c>
      <c r="C71" s="2">
        <v>10794</v>
      </c>
      <c r="D71" s="7">
        <f t="shared" si="8"/>
        <v>3.253576402076212</v>
      </c>
      <c r="E71" s="2">
        <f>31608+14702+3989+11+1</f>
        <v>50311</v>
      </c>
      <c r="F71" s="2">
        <f>675+18</f>
        <v>693</v>
      </c>
      <c r="G71" s="7">
        <f t="shared" si="5"/>
        <v>1.3774323706545288</v>
      </c>
      <c r="H71" s="2">
        <f>9541+388+738</f>
        <v>10667</v>
      </c>
      <c r="I71" s="2">
        <v>186</v>
      </c>
      <c r="J71" s="7">
        <f t="shared" si="9"/>
        <v>1.743695509515328</v>
      </c>
      <c r="K71" s="9">
        <f t="shared" si="7"/>
        <v>392736</v>
      </c>
      <c r="L71" s="9">
        <f t="shared" si="7"/>
        <v>11673</v>
      </c>
      <c r="M71" s="7">
        <f t="shared" si="10"/>
        <v>2.9722256172085064</v>
      </c>
    </row>
    <row r="72" spans="1:13" ht="12.75">
      <c r="A72" s="6" t="s">
        <v>74</v>
      </c>
      <c r="B72" s="2">
        <f>800544+463+60+2484</f>
        <v>803551</v>
      </c>
      <c r="C72" s="8">
        <v>21770</v>
      </c>
      <c r="D72" s="7">
        <f t="shared" si="8"/>
        <v>2.709224430061066</v>
      </c>
      <c r="E72" s="2">
        <f>59164+22404+12204+2</f>
        <v>93774</v>
      </c>
      <c r="F72" s="2">
        <f>2488+72</f>
        <v>2560</v>
      </c>
      <c r="G72" s="7">
        <f t="shared" si="5"/>
        <v>2.729967794911169</v>
      </c>
      <c r="H72" s="2">
        <f>40337+468+4205</f>
        <v>45010</v>
      </c>
      <c r="I72" s="2">
        <v>0</v>
      </c>
      <c r="J72" s="7">
        <f t="shared" si="9"/>
        <v>0</v>
      </c>
      <c r="K72" s="9">
        <f t="shared" si="7"/>
        <v>942335</v>
      </c>
      <c r="L72" s="9">
        <f t="shared" si="7"/>
        <v>24330</v>
      </c>
      <c r="M72" s="7">
        <f t="shared" si="10"/>
        <v>2.581884361718497</v>
      </c>
    </row>
    <row r="73" spans="1:13" ht="12.75">
      <c r="A73" s="6" t="s">
        <v>75</v>
      </c>
      <c r="B73" s="2">
        <f>406502+17+7431+458</f>
        <v>414408</v>
      </c>
      <c r="C73" s="2">
        <f>8193</f>
        <v>8193</v>
      </c>
      <c r="D73" s="7">
        <f t="shared" si="8"/>
        <v>1.9770371228354664</v>
      </c>
      <c r="E73" s="2">
        <f>160014+33420+11495+63</f>
        <v>204992</v>
      </c>
      <c r="F73" s="2">
        <f>1682+121</f>
        <v>1803</v>
      </c>
      <c r="G73" s="7">
        <f t="shared" si="5"/>
        <v>0.879546518888542</v>
      </c>
      <c r="H73" s="2">
        <f>25402+290</f>
        <v>25692</v>
      </c>
      <c r="I73" s="2">
        <f>0</f>
        <v>0</v>
      </c>
      <c r="J73" s="7">
        <f t="shared" si="9"/>
        <v>0</v>
      </c>
      <c r="K73" s="9">
        <f t="shared" si="7"/>
        <v>645092</v>
      </c>
      <c r="L73" s="9">
        <f t="shared" si="7"/>
        <v>9996</v>
      </c>
      <c r="M73" s="7">
        <f t="shared" si="10"/>
        <v>1.549546421285646</v>
      </c>
    </row>
    <row r="74" spans="1:13" ht="12.75">
      <c r="A74" s="6" t="s">
        <v>76</v>
      </c>
      <c r="B74" s="2">
        <f>1048851+432+342+2180+255+464</f>
        <v>1052524</v>
      </c>
      <c r="C74" s="2">
        <f>24596+3172</f>
        <v>27768</v>
      </c>
      <c r="D74" s="7">
        <f t="shared" si="8"/>
        <v>2.6382296270678864</v>
      </c>
      <c r="E74" s="2">
        <f>156876+15+470860+237+112130+4</f>
        <v>740122</v>
      </c>
      <c r="F74" s="2">
        <f>2933+5</f>
        <v>2938</v>
      </c>
      <c r="G74" s="7">
        <f t="shared" si="5"/>
        <v>0.3969615820094525</v>
      </c>
      <c r="H74" s="2">
        <f>100062+1906+406</f>
        <v>102374</v>
      </c>
      <c r="I74" s="2">
        <v>307</v>
      </c>
      <c r="J74" s="7">
        <f t="shared" si="9"/>
        <v>0.29988082911676794</v>
      </c>
      <c r="K74" s="9">
        <f t="shared" si="7"/>
        <v>1895020</v>
      </c>
      <c r="L74" s="9">
        <f t="shared" si="7"/>
        <v>31013</v>
      </c>
      <c r="M74" s="7">
        <f t="shared" si="10"/>
        <v>1.6365526485208601</v>
      </c>
    </row>
    <row r="75" spans="1:13" ht="12.75">
      <c r="A75" s="6" t="s">
        <v>77</v>
      </c>
      <c r="B75" s="2">
        <f>542274+30+19</f>
        <v>542323</v>
      </c>
      <c r="C75" s="2">
        <v>7490</v>
      </c>
      <c r="D75" s="7">
        <f t="shared" si="8"/>
        <v>1.3810957676513813</v>
      </c>
      <c r="E75" s="2">
        <f>33836+2575+5055+43</f>
        <v>41509</v>
      </c>
      <c r="F75" s="8">
        <f>290+9</f>
        <v>299</v>
      </c>
      <c r="G75" s="7">
        <f t="shared" si="5"/>
        <v>0.7203257124960851</v>
      </c>
      <c r="H75" s="2">
        <f>16317+1+2</f>
        <v>16320</v>
      </c>
      <c r="I75" s="2">
        <v>9</v>
      </c>
      <c r="J75" s="7">
        <f t="shared" si="9"/>
        <v>0.05514705882352941</v>
      </c>
      <c r="K75" s="9">
        <f t="shared" si="7"/>
        <v>600152</v>
      </c>
      <c r="L75" s="9">
        <f t="shared" si="7"/>
        <v>7798</v>
      </c>
      <c r="M75" s="7">
        <f t="shared" si="10"/>
        <v>1.299337501166371</v>
      </c>
    </row>
    <row r="76" spans="1:13" ht="12.75">
      <c r="A76" s="6" t="s">
        <v>78</v>
      </c>
      <c r="B76" s="2">
        <f>3690854.8+3471.28+402.19+498.43-26442.93</f>
        <v>3668783.7699999996</v>
      </c>
      <c r="C76" s="2">
        <v>86296</v>
      </c>
      <c r="D76" s="7">
        <f t="shared" si="8"/>
        <v>2.352169149505369</v>
      </c>
      <c r="E76" s="2">
        <f>490861+129+556874+434+132423+2257+9594</f>
        <v>1192572</v>
      </c>
      <c r="F76" s="2">
        <f>12515+93+1440+24</f>
        <v>14072</v>
      </c>
      <c r="G76" s="7">
        <f t="shared" si="5"/>
        <v>1.1799706852081049</v>
      </c>
      <c r="H76" s="2">
        <f>332553+636+616+2384</f>
        <v>336189</v>
      </c>
      <c r="I76" s="2">
        <f>5440+3</f>
        <v>5443</v>
      </c>
      <c r="J76" s="7">
        <f t="shared" si="9"/>
        <v>1.6190297719437579</v>
      </c>
      <c r="K76" s="9">
        <f t="shared" si="7"/>
        <v>5197544.77</v>
      </c>
      <c r="L76" s="9">
        <f t="shared" si="7"/>
        <v>105811</v>
      </c>
      <c r="M76" s="7">
        <f t="shared" si="10"/>
        <v>2.0357881400221207</v>
      </c>
    </row>
    <row r="77" spans="1:13" ht="12.75">
      <c r="A77" s="6" t="s">
        <v>79</v>
      </c>
      <c r="B77" s="2">
        <f>217368+20308+245</f>
        <v>237921</v>
      </c>
      <c r="C77" s="2">
        <v>14501</v>
      </c>
      <c r="D77" s="7">
        <f t="shared" si="8"/>
        <v>6.094880233354769</v>
      </c>
      <c r="E77" s="2">
        <f>44589+3559+6191</f>
        <v>54339</v>
      </c>
      <c r="F77" s="2">
        <v>396</v>
      </c>
      <c r="G77" s="7">
        <f t="shared" si="5"/>
        <v>0.7287583503560978</v>
      </c>
      <c r="H77" s="8">
        <v>41568</v>
      </c>
      <c r="I77" s="2">
        <v>71</v>
      </c>
      <c r="J77" s="7">
        <f t="shared" si="9"/>
        <v>0.1708044649730562</v>
      </c>
      <c r="K77" s="9">
        <f t="shared" si="7"/>
        <v>333828</v>
      </c>
      <c r="L77" s="9">
        <f t="shared" si="7"/>
        <v>14968</v>
      </c>
      <c r="M77" s="7">
        <f t="shared" si="10"/>
        <v>4.4837461207567975</v>
      </c>
    </row>
    <row r="78" spans="1:13" ht="12.75">
      <c r="A78" s="6" t="s">
        <v>80</v>
      </c>
      <c r="B78" s="2">
        <f>905828+2214+176+1428</f>
        <v>909646</v>
      </c>
      <c r="C78" s="2">
        <v>13310</v>
      </c>
      <c r="D78" s="7">
        <f t="shared" si="8"/>
        <v>1.4632065660707572</v>
      </c>
      <c r="E78" s="2">
        <f>139891+866+235049+5787+29940+9+2</f>
        <v>411544</v>
      </c>
      <c r="F78" s="2">
        <f>172</f>
        <v>172</v>
      </c>
      <c r="G78" s="7">
        <f t="shared" si="5"/>
        <v>0.041793830064343056</v>
      </c>
      <c r="H78" s="2">
        <f>124986+1645+1322</f>
        <v>127953</v>
      </c>
      <c r="I78" s="2">
        <v>629</v>
      </c>
      <c r="J78" s="7">
        <f t="shared" si="9"/>
        <v>0.4915867545114222</v>
      </c>
      <c r="K78" s="9">
        <f t="shared" si="7"/>
        <v>1449143</v>
      </c>
      <c r="L78" s="9">
        <f t="shared" si="7"/>
        <v>14111</v>
      </c>
      <c r="M78" s="7">
        <f t="shared" si="10"/>
        <v>0.9737479323986659</v>
      </c>
    </row>
    <row r="79" spans="1:13" ht="12.75">
      <c r="A79" s="6" t="s">
        <v>81</v>
      </c>
      <c r="B79" s="2">
        <f>1721921+3247+730</f>
        <v>1725898</v>
      </c>
      <c r="C79" s="2">
        <f>35811</f>
        <v>35811</v>
      </c>
      <c r="D79" s="7">
        <f t="shared" si="8"/>
        <v>2.074919838831727</v>
      </c>
      <c r="E79" s="2">
        <f>292942+29+387+969550+263+96676+202+1</f>
        <v>1360050</v>
      </c>
      <c r="F79" s="2">
        <f>686+1</f>
        <v>687</v>
      </c>
      <c r="G79" s="7">
        <f t="shared" si="5"/>
        <v>0.05051284879232382</v>
      </c>
      <c r="H79" s="2">
        <f>132366+34870+3105</f>
        <v>170341</v>
      </c>
      <c r="I79" s="2">
        <f>1495</f>
        <v>1495</v>
      </c>
      <c r="J79" s="7">
        <f t="shared" si="9"/>
        <v>0.877651299452275</v>
      </c>
      <c r="K79" s="9">
        <f t="shared" si="7"/>
        <v>3256289</v>
      </c>
      <c r="L79" s="9">
        <f t="shared" si="7"/>
        <v>37993</v>
      </c>
      <c r="M79" s="7">
        <f t="shared" si="10"/>
        <v>1.1667576188722808</v>
      </c>
    </row>
    <row r="80" spans="1:13" ht="12.75">
      <c r="A80" s="6" t="s">
        <v>82</v>
      </c>
      <c r="B80" s="2">
        <f>210364+615+126562+1384+1237</f>
        <v>340162</v>
      </c>
      <c r="C80" s="2">
        <v>21645</v>
      </c>
      <c r="D80" s="7">
        <f t="shared" si="8"/>
        <v>6.3631446193284384</v>
      </c>
      <c r="E80" s="2">
        <f>288513+36877+8969</f>
        <v>334359</v>
      </c>
      <c r="F80" s="2">
        <f>9639+211</f>
        <v>9850</v>
      </c>
      <c r="G80" s="7">
        <f t="shared" si="5"/>
        <v>2.945935356906798</v>
      </c>
      <c r="H80" s="2">
        <f>81195+4710+1</f>
        <v>85906</v>
      </c>
      <c r="I80" s="2">
        <v>149</v>
      </c>
      <c r="J80" s="7">
        <f t="shared" si="9"/>
        <v>0.17344539380252835</v>
      </c>
      <c r="K80" s="9">
        <f t="shared" si="7"/>
        <v>760427</v>
      </c>
      <c r="L80" s="9">
        <f t="shared" si="7"/>
        <v>31644</v>
      </c>
      <c r="M80" s="7">
        <f t="shared" si="10"/>
        <v>4.161346191021623</v>
      </c>
    </row>
    <row r="81" spans="1:13" ht="12.75">
      <c r="A81" s="6" t="s">
        <v>83</v>
      </c>
      <c r="B81" s="2">
        <f>820158+976+2530+655+2536</f>
        <v>826855</v>
      </c>
      <c r="C81" s="2">
        <f>3841+461</f>
        <v>4302</v>
      </c>
      <c r="D81" s="7">
        <f t="shared" si="8"/>
        <v>0.5202846932049755</v>
      </c>
      <c r="E81" s="2">
        <f>395206+218+300438+47179+557+3875</f>
        <v>747473</v>
      </c>
      <c r="F81" s="2">
        <f>14</f>
        <v>14</v>
      </c>
      <c r="G81" s="7">
        <f t="shared" si="5"/>
        <v>0.0018729773516902952</v>
      </c>
      <c r="H81" s="2">
        <f>112997+6130+689</f>
        <v>119816</v>
      </c>
      <c r="I81" s="2">
        <f>0</f>
        <v>0</v>
      </c>
      <c r="J81" s="7">
        <f t="shared" si="9"/>
        <v>0</v>
      </c>
      <c r="K81" s="9">
        <f t="shared" si="7"/>
        <v>1694144</v>
      </c>
      <c r="L81" s="9">
        <f t="shared" si="7"/>
        <v>4316</v>
      </c>
      <c r="M81" s="7">
        <f t="shared" si="10"/>
        <v>0.2547599259567073</v>
      </c>
    </row>
    <row r="82" spans="1:13" ht="12.75">
      <c r="A82" s="6" t="s">
        <v>84</v>
      </c>
      <c r="B82" s="2">
        <f>3298486+708+114+1004+180</f>
        <v>3300492</v>
      </c>
      <c r="C82" s="2">
        <f>55213</f>
        <v>55213</v>
      </c>
      <c r="D82" s="7">
        <f t="shared" si="8"/>
        <v>1.672871802143438</v>
      </c>
      <c r="E82" s="2">
        <f>964810+3312+81105+544669+22+473+4</f>
        <v>1594395</v>
      </c>
      <c r="F82" s="2">
        <f>9714+23+755</f>
        <v>10492</v>
      </c>
      <c r="G82" s="7">
        <f t="shared" si="5"/>
        <v>0.658055249796945</v>
      </c>
      <c r="H82" s="2">
        <f>547937+6865</f>
        <v>554802</v>
      </c>
      <c r="I82" s="2">
        <f>2975</f>
        <v>2975</v>
      </c>
      <c r="J82" s="7">
        <f t="shared" si="9"/>
        <v>0.5362273387622972</v>
      </c>
      <c r="K82" s="9">
        <f t="shared" si="7"/>
        <v>5449689</v>
      </c>
      <c r="L82" s="9">
        <f t="shared" si="7"/>
        <v>68680</v>
      </c>
      <c r="M82" s="7">
        <f t="shared" si="10"/>
        <v>1.2602554017302638</v>
      </c>
    </row>
    <row r="83" spans="1:13" ht="12.75">
      <c r="A83" s="6" t="s">
        <v>85</v>
      </c>
      <c r="B83" s="8">
        <f>374208+457+4135+76+1260</f>
        <v>380136</v>
      </c>
      <c r="C83" s="2">
        <v>24129</v>
      </c>
      <c r="D83" s="7">
        <f t="shared" si="8"/>
        <v>6.3474651177473325</v>
      </c>
      <c r="E83" s="2">
        <f>35220+7890+11455+8</f>
        <v>54573</v>
      </c>
      <c r="F83" s="2">
        <f>1073+65</f>
        <v>1138</v>
      </c>
      <c r="G83" s="7">
        <f t="shared" si="5"/>
        <v>2.0852802667986</v>
      </c>
      <c r="H83" s="2">
        <f>37440+30+847</f>
        <v>38317</v>
      </c>
      <c r="I83" s="2">
        <f>10</f>
        <v>10</v>
      </c>
      <c r="J83" s="7">
        <f t="shared" si="9"/>
        <v>0.02609807657175666</v>
      </c>
      <c r="K83" s="9">
        <f t="shared" si="7"/>
        <v>473026</v>
      </c>
      <c r="L83" s="9">
        <f t="shared" si="7"/>
        <v>25277</v>
      </c>
      <c r="M83" s="7">
        <f t="shared" si="10"/>
        <v>5.343680897033145</v>
      </c>
    </row>
    <row r="84" spans="1:13" ht="12.75">
      <c r="A84" s="6" t="s">
        <v>86</v>
      </c>
      <c r="B84" s="2">
        <f>388624+27+5279+117</f>
        <v>394047</v>
      </c>
      <c r="C84" s="2">
        <v>10583</v>
      </c>
      <c r="D84" s="7">
        <f t="shared" si="8"/>
        <v>2.6857202313429616</v>
      </c>
      <c r="E84" s="2">
        <f>27246+5277+9538+1173+4</f>
        <v>43238</v>
      </c>
      <c r="F84" s="2">
        <f>0</f>
        <v>0</v>
      </c>
      <c r="G84" s="7">
        <f t="shared" si="5"/>
        <v>0</v>
      </c>
      <c r="H84" s="2">
        <f>15022+162+200</f>
        <v>15384</v>
      </c>
      <c r="I84" s="2">
        <v>0</v>
      </c>
      <c r="J84" s="7">
        <f t="shared" si="9"/>
        <v>0</v>
      </c>
      <c r="K84" s="9">
        <f t="shared" si="7"/>
        <v>452669</v>
      </c>
      <c r="L84" s="9">
        <f t="shared" si="7"/>
        <v>10583</v>
      </c>
      <c r="M84" s="7">
        <f t="shared" si="10"/>
        <v>2.3379113656998824</v>
      </c>
    </row>
    <row r="85" spans="1:13" ht="12.75">
      <c r="A85" s="6" t="s">
        <v>87</v>
      </c>
      <c r="B85" s="2">
        <f>975760+29+14924+66+116</f>
        <v>990895</v>
      </c>
      <c r="C85" s="2">
        <f>22406+11</f>
        <v>22417</v>
      </c>
      <c r="D85" s="7">
        <f t="shared" si="8"/>
        <v>2.2622982253417367</v>
      </c>
      <c r="E85" s="2">
        <f>136976+96284+22541</f>
        <v>255801</v>
      </c>
      <c r="F85" s="2">
        <f>201+1</f>
        <v>202</v>
      </c>
      <c r="G85" s="7">
        <f t="shared" si="5"/>
        <v>0.0789676349975176</v>
      </c>
      <c r="H85" s="2">
        <f>76021+618+614</f>
        <v>77253</v>
      </c>
      <c r="I85" s="2">
        <f>0</f>
        <v>0</v>
      </c>
      <c r="J85" s="7">
        <f t="shared" si="9"/>
        <v>0</v>
      </c>
      <c r="K85" s="9">
        <f t="shared" si="7"/>
        <v>1323949</v>
      </c>
      <c r="L85" s="9">
        <f t="shared" si="7"/>
        <v>22619</v>
      </c>
      <c r="M85" s="7">
        <f t="shared" si="10"/>
        <v>1.708449494655761</v>
      </c>
    </row>
    <row r="86" spans="1:13" ht="12.75">
      <c r="A86" s="6" t="s">
        <v>88</v>
      </c>
      <c r="B86" s="2">
        <f>148897+306</f>
        <v>149203</v>
      </c>
      <c r="C86" s="2">
        <f>13097</f>
        <v>13097</v>
      </c>
      <c r="D86" s="7">
        <f t="shared" si="8"/>
        <v>8.777973633237938</v>
      </c>
      <c r="E86" s="2">
        <f>14139+2474</f>
        <v>16613</v>
      </c>
      <c r="F86" s="2">
        <f>106</f>
        <v>106</v>
      </c>
      <c r="G86" s="7">
        <f t="shared" si="5"/>
        <v>0.638054535604647</v>
      </c>
      <c r="H86" s="2">
        <f>6375+376</f>
        <v>6751</v>
      </c>
      <c r="I86" s="2">
        <f>0</f>
        <v>0</v>
      </c>
      <c r="J86" s="7">
        <f t="shared" si="9"/>
        <v>0</v>
      </c>
      <c r="K86" s="9">
        <f t="shared" si="7"/>
        <v>172567</v>
      </c>
      <c r="L86" s="9">
        <f t="shared" si="7"/>
        <v>13203</v>
      </c>
      <c r="M86" s="7">
        <f t="shared" si="10"/>
        <v>7.650941373495512</v>
      </c>
    </row>
    <row r="87" spans="1:13" ht="12.75">
      <c r="A87" s="6" t="s">
        <v>89</v>
      </c>
      <c r="B87" s="2">
        <f>1149174+1638+93</f>
        <v>1150905</v>
      </c>
      <c r="C87" s="2">
        <f>22522</f>
        <v>22522</v>
      </c>
      <c r="D87" s="7">
        <f t="shared" si="8"/>
        <v>1.956894791490175</v>
      </c>
      <c r="E87" s="2">
        <f>143609+453+315242+18200+91+24+868</f>
        <v>478487</v>
      </c>
      <c r="F87" s="2">
        <f>4287+51</f>
        <v>4338</v>
      </c>
      <c r="G87" s="7">
        <f t="shared" si="5"/>
        <v>0.9066077030305943</v>
      </c>
      <c r="H87" s="2">
        <f>156520+670+21554+1670</f>
        <v>180414</v>
      </c>
      <c r="I87" s="2">
        <f>176</f>
        <v>176</v>
      </c>
      <c r="J87" s="7">
        <f t="shared" si="9"/>
        <v>0.09755340494640106</v>
      </c>
      <c r="K87" s="9">
        <f t="shared" si="7"/>
        <v>1809806</v>
      </c>
      <c r="L87" s="9">
        <f t="shared" si="7"/>
        <v>27036</v>
      </c>
      <c r="M87" s="7">
        <f t="shared" si="10"/>
        <v>1.4938617730298165</v>
      </c>
    </row>
    <row r="88" spans="1:13" ht="12.75">
      <c r="A88" s="6" t="s">
        <v>90</v>
      </c>
      <c r="B88" s="2">
        <f>293573+482+45</f>
        <v>294100</v>
      </c>
      <c r="C88" s="2">
        <f>6742</f>
        <v>6742</v>
      </c>
      <c r="D88" s="7">
        <f t="shared" si="8"/>
        <v>2.292417545052703</v>
      </c>
      <c r="E88" s="2">
        <f>32832+2138+109815+8140+1776+1</f>
        <v>154702</v>
      </c>
      <c r="F88" s="2">
        <f>107+22</f>
        <v>129</v>
      </c>
      <c r="G88" s="7">
        <f t="shared" si="5"/>
        <v>0.08338612299776345</v>
      </c>
      <c r="H88" s="2">
        <f>10940</f>
        <v>10940</v>
      </c>
      <c r="I88" s="2">
        <v>47</v>
      </c>
      <c r="J88" s="7">
        <f t="shared" si="9"/>
        <v>0.4296160877513711</v>
      </c>
      <c r="K88" s="9">
        <f t="shared" si="7"/>
        <v>459742</v>
      </c>
      <c r="L88" s="9">
        <f t="shared" si="7"/>
        <v>6918</v>
      </c>
      <c r="M88" s="7">
        <f t="shared" si="10"/>
        <v>1.5047570158915218</v>
      </c>
    </row>
    <row r="89" spans="1:13" ht="12.75">
      <c r="A89" s="6" t="s">
        <v>91</v>
      </c>
      <c r="B89" s="2">
        <f>319293+169+66</f>
        <v>319528</v>
      </c>
      <c r="C89" s="2">
        <v>4901</v>
      </c>
      <c r="D89" s="7">
        <f t="shared" si="8"/>
        <v>1.5338248917152801</v>
      </c>
      <c r="E89" s="2">
        <f>47955+27209+12440+309</f>
        <v>87913</v>
      </c>
      <c r="F89" s="2">
        <f>239</f>
        <v>239</v>
      </c>
      <c r="G89" s="7">
        <f>F89/E89*100</f>
        <v>0.2718596794558257</v>
      </c>
      <c r="H89" s="2">
        <f>22821+338+732</f>
        <v>23891</v>
      </c>
      <c r="I89" s="2">
        <v>20</v>
      </c>
      <c r="J89" s="7">
        <f t="shared" si="9"/>
        <v>0.08371353229249508</v>
      </c>
      <c r="K89" s="9">
        <f t="shared" si="7"/>
        <v>431332</v>
      </c>
      <c r="L89" s="9">
        <f t="shared" si="7"/>
        <v>5160</v>
      </c>
      <c r="M89" s="7">
        <f t="shared" si="10"/>
        <v>1.1962942698431833</v>
      </c>
    </row>
    <row r="90" spans="1:13" ht="12.75">
      <c r="A90" s="6" t="s">
        <v>92</v>
      </c>
      <c r="B90" s="2">
        <f>1134481+116+234+781+5395</f>
        <v>1141007</v>
      </c>
      <c r="C90" s="2">
        <f>28124</f>
        <v>28124</v>
      </c>
      <c r="D90" s="7">
        <f t="shared" si="8"/>
        <v>2.464840268289327</v>
      </c>
      <c r="E90" s="2">
        <f>186077+155104+53547+284+2955+21</f>
        <v>397988</v>
      </c>
      <c r="F90" s="2">
        <f>1468+6+79</f>
        <v>1553</v>
      </c>
      <c r="G90" s="7">
        <f t="shared" si="5"/>
        <v>0.3902127702342784</v>
      </c>
      <c r="H90" s="2">
        <f>141638+568+1904</f>
        <v>144110</v>
      </c>
      <c r="I90" s="2">
        <f>462</f>
        <v>462</v>
      </c>
      <c r="J90" s="7">
        <f t="shared" si="9"/>
        <v>0.3205884393865797</v>
      </c>
      <c r="K90" s="9">
        <f t="shared" si="7"/>
        <v>1683105</v>
      </c>
      <c r="L90" s="9">
        <f t="shared" si="7"/>
        <v>30139</v>
      </c>
      <c r="M90" s="7">
        <f t="shared" si="10"/>
        <v>1.7906785375838108</v>
      </c>
    </row>
    <row r="91" spans="1:13" ht="12.75">
      <c r="A91" s="6" t="s">
        <v>93</v>
      </c>
      <c r="B91" s="2">
        <f>291584+153+2789+64</f>
        <v>294590</v>
      </c>
      <c r="C91" s="2">
        <f>15514</f>
        <v>15514</v>
      </c>
      <c r="D91" s="7">
        <f t="shared" si="8"/>
        <v>5.2663023184765265</v>
      </c>
      <c r="E91" s="2">
        <f>104024+5688+769+9+3</f>
        <v>110493</v>
      </c>
      <c r="F91" s="2">
        <f>3065+4</f>
        <v>3069</v>
      </c>
      <c r="G91" s="7">
        <f t="shared" si="5"/>
        <v>2.7775515191007574</v>
      </c>
      <c r="H91" s="2">
        <f>41834+2+1352</f>
        <v>43188</v>
      </c>
      <c r="I91" s="2">
        <f>21</f>
        <v>21</v>
      </c>
      <c r="J91" s="7">
        <f t="shared" si="9"/>
        <v>0.0486246179494304</v>
      </c>
      <c r="K91" s="9">
        <f t="shared" si="7"/>
        <v>448271</v>
      </c>
      <c r="L91" s="9">
        <f t="shared" si="7"/>
        <v>18604</v>
      </c>
      <c r="M91" s="7">
        <f t="shared" si="10"/>
        <v>4.150168090284671</v>
      </c>
    </row>
    <row r="92" spans="1:13" ht="12.75">
      <c r="A92" s="6" t="s">
        <v>94</v>
      </c>
      <c r="B92" s="2">
        <f>932440+128+159+4116+3278</f>
        <v>940121</v>
      </c>
      <c r="C92" s="2">
        <v>34399</v>
      </c>
      <c r="D92" s="7">
        <f t="shared" si="8"/>
        <v>3.6589970865452424</v>
      </c>
      <c r="E92" s="2">
        <f>195529+81+47146+23488+95+297+21</f>
        <v>266657</v>
      </c>
      <c r="F92" s="2">
        <f>22786+5</f>
        <v>22791</v>
      </c>
      <c r="G92" s="7">
        <f t="shared" si="5"/>
        <v>8.546934826387456</v>
      </c>
      <c r="H92" s="2">
        <f>89144+4421+534</f>
        <v>94099</v>
      </c>
      <c r="I92" s="2">
        <v>593</v>
      </c>
      <c r="J92" s="7">
        <f t="shared" si="9"/>
        <v>0.6301873558698817</v>
      </c>
      <c r="K92" s="9">
        <f t="shared" si="7"/>
        <v>1300877</v>
      </c>
      <c r="L92" s="9">
        <f t="shared" si="7"/>
        <v>57783</v>
      </c>
      <c r="M92" s="7">
        <f t="shared" si="10"/>
        <v>4.441849613760563</v>
      </c>
    </row>
    <row r="93" spans="1:13" ht="12.75">
      <c r="A93" s="6" t="s">
        <v>95</v>
      </c>
      <c r="B93" s="2">
        <f>2269229+858+607+1185+53340</f>
        <v>2325219</v>
      </c>
      <c r="C93" s="2">
        <f>26839</f>
        <v>26839</v>
      </c>
      <c r="D93" s="7">
        <f t="shared" si="8"/>
        <v>1.1542568678477165</v>
      </c>
      <c r="E93" s="8">
        <f>280361+390129+161+49098+577+1339+62</f>
        <v>721727</v>
      </c>
      <c r="F93" s="2">
        <f>10483+5534+26+2887</f>
        <v>18930</v>
      </c>
      <c r="G93" s="7">
        <f t="shared" si="5"/>
        <v>2.6228754085686137</v>
      </c>
      <c r="H93" s="2">
        <f>318232+35529+4307</f>
        <v>358068</v>
      </c>
      <c r="I93" s="2">
        <f>2525+5</f>
        <v>2530</v>
      </c>
      <c r="J93" s="7">
        <f t="shared" si="9"/>
        <v>0.7065697018443424</v>
      </c>
      <c r="K93" s="9">
        <f t="shared" si="7"/>
        <v>3405014</v>
      </c>
      <c r="L93" s="9">
        <f t="shared" si="7"/>
        <v>48299</v>
      </c>
      <c r="M93" s="7">
        <f t="shared" si="10"/>
        <v>1.4184670018977896</v>
      </c>
    </row>
    <row r="94" spans="1:13" ht="12.75">
      <c r="A94" s="6" t="s">
        <v>96</v>
      </c>
      <c r="B94" s="2">
        <f>235912+15</f>
        <v>235927</v>
      </c>
      <c r="C94" s="2">
        <v>4953</v>
      </c>
      <c r="D94" s="7">
        <f t="shared" si="8"/>
        <v>2.0993781974932926</v>
      </c>
      <c r="E94" s="2">
        <f>13867+5106+1103</f>
        <v>20076</v>
      </c>
      <c r="F94" s="2">
        <f>35+1</f>
        <v>36</v>
      </c>
      <c r="G94" s="7">
        <f t="shared" si="5"/>
        <v>0.17931858936043038</v>
      </c>
      <c r="H94" s="2">
        <f>48519+5+5</f>
        <v>48529</v>
      </c>
      <c r="I94" s="2">
        <f>0</f>
        <v>0</v>
      </c>
      <c r="J94" s="7">
        <f t="shared" si="9"/>
        <v>0</v>
      </c>
      <c r="K94" s="9">
        <f t="shared" si="7"/>
        <v>304532</v>
      </c>
      <c r="L94" s="9">
        <f t="shared" si="7"/>
        <v>4989</v>
      </c>
      <c r="M94" s="7">
        <f t="shared" si="10"/>
        <v>1.6382514809609499</v>
      </c>
    </row>
    <row r="95" spans="1:13" ht="12.75">
      <c r="A95" s="6" t="s">
        <v>97</v>
      </c>
      <c r="B95" s="2">
        <f>766420+53</f>
        <v>766473</v>
      </c>
      <c r="C95" s="2">
        <v>21678</v>
      </c>
      <c r="D95" s="7">
        <f t="shared" si="8"/>
        <v>2.8282796654285276</v>
      </c>
      <c r="E95" s="2">
        <f>118809+72159+17646+42+1+21</f>
        <v>208678</v>
      </c>
      <c r="F95" s="2">
        <f>649+33</f>
        <v>682</v>
      </c>
      <c r="G95" s="7">
        <f t="shared" si="5"/>
        <v>0.32681931013331544</v>
      </c>
      <c r="H95" s="2">
        <f>57357+33+1458</f>
        <v>58848</v>
      </c>
      <c r="I95" s="2">
        <f>0</f>
        <v>0</v>
      </c>
      <c r="J95" s="7">
        <f t="shared" si="9"/>
        <v>0</v>
      </c>
      <c r="K95" s="9">
        <f t="shared" si="7"/>
        <v>1033999</v>
      </c>
      <c r="L95" s="9">
        <f t="shared" si="7"/>
        <v>22360</v>
      </c>
      <c r="M95" s="7">
        <f t="shared" si="10"/>
        <v>2.1624779134215797</v>
      </c>
    </row>
    <row r="96" spans="1:13" ht="12.75">
      <c r="A96" s="6" t="s">
        <v>98</v>
      </c>
      <c r="B96" s="2">
        <f>5349245+3645+2635+5659</f>
        <v>5361184</v>
      </c>
      <c r="C96" s="2">
        <f>59393</f>
        <v>59393</v>
      </c>
      <c r="D96" s="7">
        <f t="shared" si="8"/>
        <v>1.107833642717728</v>
      </c>
      <c r="E96" s="2">
        <f>204002+30471+29521+312</f>
        <v>264306</v>
      </c>
      <c r="F96" s="8">
        <f>188+99</f>
        <v>287</v>
      </c>
      <c r="G96" s="7">
        <f t="shared" si="5"/>
        <v>0.10858625986545899</v>
      </c>
      <c r="H96" s="2">
        <f>192508+2009+1546+454</f>
        <v>196517</v>
      </c>
      <c r="I96" s="2">
        <v>1179</v>
      </c>
      <c r="J96" s="7">
        <f t="shared" si="9"/>
        <v>0.5999480960934677</v>
      </c>
      <c r="K96" s="9">
        <f t="shared" si="7"/>
        <v>5822007</v>
      </c>
      <c r="L96" s="9">
        <f t="shared" si="7"/>
        <v>60859</v>
      </c>
      <c r="M96" s="7">
        <f t="shared" si="10"/>
        <v>1.045326809122696</v>
      </c>
    </row>
    <row r="97" spans="1:13" ht="12.75">
      <c r="A97" s="6" t="s">
        <v>99</v>
      </c>
      <c r="B97" s="8">
        <f>441582+136</f>
        <v>441718</v>
      </c>
      <c r="C97" s="2">
        <v>9471</v>
      </c>
      <c r="D97" s="7">
        <f t="shared" si="8"/>
        <v>2.144128154161705</v>
      </c>
      <c r="E97" s="2">
        <f>31897+4037+2371+1+4</f>
        <v>38310</v>
      </c>
      <c r="F97" s="2">
        <f>436</f>
        <v>436</v>
      </c>
      <c r="G97" s="7">
        <f t="shared" si="5"/>
        <v>1.1380840511615766</v>
      </c>
      <c r="H97" s="2">
        <f>20170+11+1290</f>
        <v>21471</v>
      </c>
      <c r="I97" s="2">
        <f>0</f>
        <v>0</v>
      </c>
      <c r="J97" s="7">
        <f t="shared" si="9"/>
        <v>0</v>
      </c>
      <c r="K97" s="9">
        <f t="shared" si="7"/>
        <v>501499</v>
      </c>
      <c r="L97" s="9">
        <f t="shared" si="7"/>
        <v>9907</v>
      </c>
      <c r="M97" s="7">
        <f t="shared" si="10"/>
        <v>1.9754775183998374</v>
      </c>
    </row>
    <row r="98" spans="1:13" ht="12.75">
      <c r="A98" s="6" t="s">
        <v>100</v>
      </c>
      <c r="B98" s="2">
        <f>85243+72+506</f>
        <v>85821</v>
      </c>
      <c r="C98" s="2">
        <f>5517</f>
        <v>5517</v>
      </c>
      <c r="D98" s="7">
        <f t="shared" si="8"/>
        <v>6.428496521830321</v>
      </c>
      <c r="E98" s="2">
        <f>4225+1198+718</f>
        <v>6141</v>
      </c>
      <c r="F98" s="2">
        <f>67+741+457+67</f>
        <v>1332</v>
      </c>
      <c r="G98" s="7">
        <f t="shared" si="5"/>
        <v>21.69027845627748</v>
      </c>
      <c r="H98" s="2">
        <f>1111</f>
        <v>1111</v>
      </c>
      <c r="I98" s="2">
        <v>0</v>
      </c>
      <c r="J98" s="7">
        <f t="shared" si="9"/>
        <v>0</v>
      </c>
      <c r="K98" s="9">
        <f t="shared" si="7"/>
        <v>93073</v>
      </c>
      <c r="L98" s="9">
        <f t="shared" si="7"/>
        <v>6849</v>
      </c>
      <c r="M98" s="7">
        <f t="shared" si="10"/>
        <v>7.358739913831079</v>
      </c>
    </row>
    <row r="99" spans="1:13" ht="12.75">
      <c r="A99" s="6" t="s">
        <v>101</v>
      </c>
      <c r="B99" s="2">
        <f>597988+3025+259+23</f>
        <v>601295</v>
      </c>
      <c r="C99" s="2">
        <f>12389</f>
        <v>12389</v>
      </c>
      <c r="D99" s="7">
        <f t="shared" si="8"/>
        <v>2.0603863328316385</v>
      </c>
      <c r="E99" s="2">
        <f>140416+59317+6188+345</f>
        <v>206266</v>
      </c>
      <c r="F99" s="2">
        <f>573+1</f>
        <v>574</v>
      </c>
      <c r="G99" s="7">
        <f t="shared" si="5"/>
        <v>0.2782814424093161</v>
      </c>
      <c r="H99" s="2">
        <f>21649+2+262</f>
        <v>21913</v>
      </c>
      <c r="I99" s="2">
        <f>0</f>
        <v>0</v>
      </c>
      <c r="J99" s="7">
        <f t="shared" si="9"/>
        <v>0</v>
      </c>
      <c r="K99" s="9">
        <f t="shared" si="7"/>
        <v>829474</v>
      </c>
      <c r="L99" s="9">
        <f t="shared" si="7"/>
        <v>12963</v>
      </c>
      <c r="M99" s="7">
        <f t="shared" si="10"/>
        <v>1.5627976283765375</v>
      </c>
    </row>
    <row r="100" spans="1:13" ht="12.75">
      <c r="A100" s="6" t="s">
        <v>102</v>
      </c>
      <c r="B100" s="2">
        <f>824765+123908+11223</f>
        <v>959896</v>
      </c>
      <c r="C100" s="2">
        <f>56402</f>
        <v>56402</v>
      </c>
      <c r="D100" s="7">
        <f t="shared" si="8"/>
        <v>5.875844883195679</v>
      </c>
      <c r="E100" s="2">
        <f>655032+169+98486+38935+64+4957</f>
        <v>797643</v>
      </c>
      <c r="F100" s="2">
        <f>7431+252+24</f>
        <v>7707</v>
      </c>
      <c r="G100" s="7">
        <f t="shared" si="5"/>
        <v>0.9662217307742937</v>
      </c>
      <c r="H100" s="2">
        <f>139062+2052+481</f>
        <v>141595</v>
      </c>
      <c r="I100" s="2">
        <f>1215</f>
        <v>1215</v>
      </c>
      <c r="J100" s="7">
        <f t="shared" si="9"/>
        <v>0.8580811469331545</v>
      </c>
      <c r="K100" s="9">
        <f aca="true" t="shared" si="11" ref="K100:L123">(B100+E100+H100)</f>
        <v>1899134</v>
      </c>
      <c r="L100" s="9">
        <f t="shared" si="11"/>
        <v>65324</v>
      </c>
      <c r="M100" s="7">
        <f t="shared" si="10"/>
        <v>3.439673029917847</v>
      </c>
    </row>
    <row r="101" spans="1:13" ht="12.75">
      <c r="A101" s="6" t="s">
        <v>103</v>
      </c>
      <c r="B101" s="8">
        <f>1683370+74+742333+2363</f>
        <v>2428140</v>
      </c>
      <c r="C101" s="2">
        <v>139767</v>
      </c>
      <c r="D101" s="7">
        <f t="shared" si="8"/>
        <v>5.756134325038919</v>
      </c>
      <c r="E101" s="2">
        <f>1566130+11904+266384+66189+229+7</f>
        <v>1910843</v>
      </c>
      <c r="F101" s="2">
        <f>6610+687+31</f>
        <v>7328</v>
      </c>
      <c r="G101" s="7">
        <f t="shared" si="5"/>
        <v>0.38349566133900065</v>
      </c>
      <c r="H101" s="2">
        <f>306374+30050+11148+1195</f>
        <v>348767</v>
      </c>
      <c r="I101" s="2">
        <f>3145+15</f>
        <v>3160</v>
      </c>
      <c r="J101" s="7">
        <f t="shared" si="9"/>
        <v>0.9060490241335907</v>
      </c>
      <c r="K101" s="9">
        <f t="shared" si="11"/>
        <v>4687750</v>
      </c>
      <c r="L101" s="9">
        <f t="shared" si="11"/>
        <v>150255</v>
      </c>
      <c r="M101" s="7">
        <f t="shared" si="10"/>
        <v>3.2052690523172096</v>
      </c>
    </row>
    <row r="102" spans="1:13" ht="12.75">
      <c r="A102" s="6" t="s">
        <v>104</v>
      </c>
      <c r="B102" s="2">
        <f>383813+254+596+141+79</f>
        <v>384883</v>
      </c>
      <c r="C102" s="2">
        <f>29473</f>
        <v>29473</v>
      </c>
      <c r="D102" s="7">
        <f t="shared" si="8"/>
        <v>7.657651805873473</v>
      </c>
      <c r="E102" s="2">
        <f>47661+197+15828+6228+98+10</f>
        <v>70022</v>
      </c>
      <c r="F102" s="2">
        <f>70</f>
        <v>70</v>
      </c>
      <c r="G102" s="7">
        <f t="shared" si="5"/>
        <v>0.09996858130301904</v>
      </c>
      <c r="H102" s="2">
        <f>14583+1192</f>
        <v>15775</v>
      </c>
      <c r="I102" s="2">
        <v>0</v>
      </c>
      <c r="J102" s="7">
        <f t="shared" si="9"/>
        <v>0</v>
      </c>
      <c r="K102" s="9">
        <f t="shared" si="11"/>
        <v>470680</v>
      </c>
      <c r="L102" s="9">
        <f t="shared" si="11"/>
        <v>29543</v>
      </c>
      <c r="M102" s="7">
        <f t="shared" si="10"/>
        <v>6.2766635506076325</v>
      </c>
    </row>
    <row r="103" spans="1:13" ht="12.75">
      <c r="A103" s="6" t="s">
        <v>105</v>
      </c>
      <c r="B103" s="2">
        <f>3109594+3636+3032</f>
        <v>3116262</v>
      </c>
      <c r="C103" s="2">
        <f>65857</f>
        <v>65857</v>
      </c>
      <c r="D103" s="7">
        <f t="shared" si="8"/>
        <v>2.1133332178103124</v>
      </c>
      <c r="E103" s="2">
        <f>503490+312305+98456+523+33</f>
        <v>914807</v>
      </c>
      <c r="F103" s="2">
        <f>6541+782+678</f>
        <v>8001</v>
      </c>
      <c r="G103" s="7">
        <f t="shared" si="5"/>
        <v>0.8746107102372412</v>
      </c>
      <c r="H103" s="2">
        <f>439768+8221+129+4164</f>
        <v>452282</v>
      </c>
      <c r="I103" s="2">
        <f>2813</f>
        <v>2813</v>
      </c>
      <c r="J103" s="7">
        <f t="shared" si="9"/>
        <v>0.6219570975630249</v>
      </c>
      <c r="K103" s="9">
        <f t="shared" si="11"/>
        <v>4483351</v>
      </c>
      <c r="L103" s="9">
        <f t="shared" si="11"/>
        <v>76671</v>
      </c>
      <c r="M103" s="7">
        <f t="shared" si="10"/>
        <v>1.7101270902055181</v>
      </c>
    </row>
    <row r="104" spans="1:13" ht="12.75">
      <c r="A104" s="6" t="s">
        <v>106</v>
      </c>
      <c r="B104" s="2">
        <f>63404+39</f>
        <v>63443</v>
      </c>
      <c r="C104" s="2">
        <f>1483</f>
        <v>1483</v>
      </c>
      <c r="D104" s="7">
        <f t="shared" si="8"/>
        <v>2.337531327333197</v>
      </c>
      <c r="E104" s="2">
        <f>1296+198</f>
        <v>1494</v>
      </c>
      <c r="F104" s="2">
        <v>29</v>
      </c>
      <c r="G104" s="7">
        <f t="shared" si="5"/>
        <v>1.9410977242302543</v>
      </c>
      <c r="H104" s="2">
        <v>2273</v>
      </c>
      <c r="I104" s="2">
        <v>0</v>
      </c>
      <c r="J104" s="7">
        <f t="shared" si="9"/>
        <v>0</v>
      </c>
      <c r="K104" s="9">
        <f t="shared" si="11"/>
        <v>67210</v>
      </c>
      <c r="L104" s="9">
        <f t="shared" si="11"/>
        <v>1512</v>
      </c>
      <c r="M104" s="7">
        <f t="shared" si="10"/>
        <v>2.2496652283886327</v>
      </c>
    </row>
    <row r="105" spans="1:13" ht="12.75">
      <c r="A105" s="6" t="s">
        <v>107</v>
      </c>
      <c r="B105" s="2">
        <f>391106+124+234+130</f>
        <v>391594</v>
      </c>
      <c r="C105" s="2">
        <v>16863</v>
      </c>
      <c r="D105" s="7">
        <f t="shared" si="8"/>
        <v>4.30624575453148</v>
      </c>
      <c r="E105" s="2">
        <f>47130+25172+5719+3</f>
        <v>78024</v>
      </c>
      <c r="F105" s="2">
        <f>1958+140</f>
        <v>2098</v>
      </c>
      <c r="G105" s="7">
        <f t="shared" si="5"/>
        <v>2.688916230903312</v>
      </c>
      <c r="H105" s="2">
        <f>16974+3145+1307</f>
        <v>21426</v>
      </c>
      <c r="I105" s="2">
        <v>614</v>
      </c>
      <c r="J105" s="7">
        <f t="shared" si="9"/>
        <v>2.865677214599085</v>
      </c>
      <c r="K105" s="9">
        <f t="shared" si="11"/>
        <v>491044</v>
      </c>
      <c r="L105" s="9">
        <f t="shared" si="11"/>
        <v>19575</v>
      </c>
      <c r="M105" s="7">
        <f t="shared" si="10"/>
        <v>3.9864044769918783</v>
      </c>
    </row>
    <row r="106" spans="1:13" ht="12.75">
      <c r="A106" s="6" t="s">
        <v>108</v>
      </c>
      <c r="B106" s="2">
        <f>906188+729+2234+93+172</f>
        <v>909416</v>
      </c>
      <c r="C106" s="2">
        <f>33261</f>
        <v>33261</v>
      </c>
      <c r="D106" s="7">
        <f t="shared" si="8"/>
        <v>3.6574021130043897</v>
      </c>
      <c r="E106" s="2">
        <f>99833+26796+130+1</f>
        <v>126760</v>
      </c>
      <c r="F106" s="2">
        <f>9+2545+10</f>
        <v>2564</v>
      </c>
      <c r="G106" s="7">
        <f t="shared" si="5"/>
        <v>2.0227201009782267</v>
      </c>
      <c r="H106" s="2">
        <f>112616+252+321</f>
        <v>113189</v>
      </c>
      <c r="I106" s="2">
        <f>15</f>
        <v>15</v>
      </c>
      <c r="J106" s="7">
        <f t="shared" si="9"/>
        <v>0.013252171147372978</v>
      </c>
      <c r="K106" s="9">
        <f t="shared" si="11"/>
        <v>1149365</v>
      </c>
      <c r="L106" s="9">
        <f t="shared" si="11"/>
        <v>35840</v>
      </c>
      <c r="M106" s="7">
        <f t="shared" si="10"/>
        <v>3.118243551874296</v>
      </c>
    </row>
    <row r="107" spans="1:13" ht="12.75">
      <c r="A107" s="6" t="s">
        <v>109</v>
      </c>
      <c r="B107" s="2">
        <f>746531+145+302+97+1500</f>
        <v>748575</v>
      </c>
      <c r="C107" s="2">
        <f>16176</f>
        <v>16176</v>
      </c>
      <c r="D107" s="7">
        <f t="shared" si="8"/>
        <v>2.1609057208696525</v>
      </c>
      <c r="E107" s="2">
        <f>107035+65160+29596+10+791</f>
        <v>202592</v>
      </c>
      <c r="F107" s="2">
        <f>889+5+23</f>
        <v>917</v>
      </c>
      <c r="G107" s="7">
        <f t="shared" si="5"/>
        <v>0.4526338651081978</v>
      </c>
      <c r="H107" s="2">
        <f>78700+1861+1706</f>
        <v>82267</v>
      </c>
      <c r="I107" s="2">
        <v>0</v>
      </c>
      <c r="J107" s="7">
        <f t="shared" si="9"/>
        <v>0</v>
      </c>
      <c r="K107" s="9">
        <f t="shared" si="11"/>
        <v>1033434</v>
      </c>
      <c r="L107" s="9">
        <f t="shared" si="11"/>
        <v>17093</v>
      </c>
      <c r="M107" s="7">
        <f t="shared" si="10"/>
        <v>1.6540001586942175</v>
      </c>
    </row>
    <row r="108" spans="1:13" ht="12.75">
      <c r="A108" s="6" t="s">
        <v>110</v>
      </c>
      <c r="B108" s="2">
        <f>3173425+135+885+1508+111627</f>
        <v>3287580</v>
      </c>
      <c r="C108" s="2">
        <f>79594</f>
        <v>79594</v>
      </c>
      <c r="D108" s="7">
        <f t="shared" si="8"/>
        <v>2.4210513508416525</v>
      </c>
      <c r="E108" s="2">
        <f>334637+165937+64127+582+12465</f>
        <v>577748</v>
      </c>
      <c r="F108" s="2">
        <f>3076+152+222</f>
        <v>3450</v>
      </c>
      <c r="G108" s="7">
        <f t="shared" si="5"/>
        <v>0.5971461606098161</v>
      </c>
      <c r="H108" s="2">
        <f>471805+205777+1560</f>
        <v>679142</v>
      </c>
      <c r="I108" s="2">
        <f>554</f>
        <v>554</v>
      </c>
      <c r="J108" s="7">
        <f t="shared" si="9"/>
        <v>0.08157351481722526</v>
      </c>
      <c r="K108" s="9">
        <f t="shared" si="11"/>
        <v>4544470</v>
      </c>
      <c r="L108" s="9">
        <f t="shared" si="11"/>
        <v>83598</v>
      </c>
      <c r="M108" s="7">
        <f t="shared" si="10"/>
        <v>1.839554447493327</v>
      </c>
    </row>
    <row r="109" spans="1:13" ht="12.75">
      <c r="A109" s="6" t="s">
        <v>111</v>
      </c>
      <c r="B109" s="2">
        <f>2706461+142</f>
        <v>2706603</v>
      </c>
      <c r="C109" s="8">
        <v>39987</v>
      </c>
      <c r="D109" s="7">
        <f t="shared" si="8"/>
        <v>1.477386968092476</v>
      </c>
      <c r="E109" s="2">
        <f>308715+313+446179+91126+96+311+17</f>
        <v>846757</v>
      </c>
      <c r="F109" s="2">
        <f>7138+27+93</f>
        <v>7258</v>
      </c>
      <c r="G109" s="7">
        <f t="shared" si="5"/>
        <v>0.8571526423755575</v>
      </c>
      <c r="H109" s="2">
        <f>199210+4670+4417</f>
        <v>208297</v>
      </c>
      <c r="I109" s="2">
        <f>464</f>
        <v>464</v>
      </c>
      <c r="J109" s="7">
        <f t="shared" si="9"/>
        <v>0.2227588491432906</v>
      </c>
      <c r="K109" s="9">
        <f t="shared" si="11"/>
        <v>3761657</v>
      </c>
      <c r="L109" s="9">
        <f t="shared" si="11"/>
        <v>47709</v>
      </c>
      <c r="M109" s="7">
        <f t="shared" si="10"/>
        <v>1.2682974550842887</v>
      </c>
    </row>
    <row r="110" spans="1:13" ht="12.75">
      <c r="A110" s="6" t="s">
        <v>112</v>
      </c>
      <c r="B110" s="2">
        <f>995612+59+126+54+5109+103</f>
        <v>1001063</v>
      </c>
      <c r="C110" s="2">
        <f>19287</f>
        <v>19287</v>
      </c>
      <c r="D110" s="7">
        <f t="shared" si="8"/>
        <v>1.9266519689569988</v>
      </c>
      <c r="E110" s="2">
        <f>157297+252291+42861+312+197</f>
        <v>452958</v>
      </c>
      <c r="F110" s="2">
        <f>1020+205+3</f>
        <v>1228</v>
      </c>
      <c r="G110" s="7">
        <f t="shared" si="5"/>
        <v>0.27110681343524123</v>
      </c>
      <c r="H110" s="2">
        <f>115266+5395+851</f>
        <v>121512</v>
      </c>
      <c r="I110" s="2">
        <v>0</v>
      </c>
      <c r="J110" s="7">
        <v>5</v>
      </c>
      <c r="K110" s="9">
        <f t="shared" si="11"/>
        <v>1575533</v>
      </c>
      <c r="L110" s="9">
        <f t="shared" si="11"/>
        <v>20515</v>
      </c>
      <c r="M110" s="7">
        <f t="shared" si="10"/>
        <v>1.3020990356914137</v>
      </c>
    </row>
    <row r="111" spans="1:13" ht="12.75">
      <c r="A111" s="6" t="s">
        <v>113</v>
      </c>
      <c r="B111" s="2">
        <f>923999+42</f>
        <v>924041</v>
      </c>
      <c r="C111" s="2">
        <v>5452</v>
      </c>
      <c r="D111" s="7">
        <f t="shared" si="8"/>
        <v>0.5900171096304169</v>
      </c>
      <c r="E111" s="2">
        <f>40358+191+317+1632+5+5</f>
        <v>42508</v>
      </c>
      <c r="F111" s="8">
        <f>527</f>
        <v>527</v>
      </c>
      <c r="G111" s="7">
        <f t="shared" si="5"/>
        <v>1.2397666321633576</v>
      </c>
      <c r="H111" s="2">
        <f>18682+28</f>
        <v>18710</v>
      </c>
      <c r="I111" s="2">
        <v>0</v>
      </c>
      <c r="J111" s="7">
        <f t="shared" si="9"/>
        <v>0</v>
      </c>
      <c r="K111" s="9">
        <f t="shared" si="11"/>
        <v>985259</v>
      </c>
      <c r="L111" s="9">
        <f t="shared" si="11"/>
        <v>5979</v>
      </c>
      <c r="M111" s="7">
        <f t="shared" si="10"/>
        <v>0.6068455096578667</v>
      </c>
    </row>
    <row r="112" spans="1:13" ht="12.75">
      <c r="A112" s="6" t="s">
        <v>114</v>
      </c>
      <c r="B112" s="2">
        <f>967859+77+62+2099</f>
        <v>970097</v>
      </c>
      <c r="C112" s="2">
        <f>11135</f>
        <v>11135</v>
      </c>
      <c r="D112" s="7">
        <f t="shared" si="8"/>
        <v>1.1478233619936975</v>
      </c>
      <c r="E112" s="2">
        <f>260945+132+47327+33341+119+247+1</f>
        <v>342112</v>
      </c>
      <c r="F112" s="2">
        <f>1933+39+35</f>
        <v>2007</v>
      </c>
      <c r="G112" s="7">
        <f t="shared" si="5"/>
        <v>0.5866499859695071</v>
      </c>
      <c r="H112" s="2">
        <f>84158+731+17695+2333</f>
        <v>104917</v>
      </c>
      <c r="I112" s="2">
        <f>1733</f>
        <v>1733</v>
      </c>
      <c r="J112" s="7">
        <f t="shared" si="9"/>
        <v>1.6517818847279278</v>
      </c>
      <c r="K112" s="9">
        <f t="shared" si="11"/>
        <v>1417126</v>
      </c>
      <c r="L112" s="9">
        <f t="shared" si="11"/>
        <v>14875</v>
      </c>
      <c r="M112" s="7">
        <f t="shared" si="10"/>
        <v>1.0496596632903497</v>
      </c>
    </row>
    <row r="113" spans="1:13" ht="12.75">
      <c r="A113" s="6" t="s">
        <v>115</v>
      </c>
      <c r="B113" s="2">
        <f>424139+179+89</f>
        <v>424407</v>
      </c>
      <c r="C113" s="2">
        <v>11179</v>
      </c>
      <c r="D113" s="7">
        <f t="shared" si="8"/>
        <v>2.6340281852090093</v>
      </c>
      <c r="E113" s="2">
        <f>39630+22386+6413+573+87</f>
        <v>69089</v>
      </c>
      <c r="F113" s="2">
        <f>593+43</f>
        <v>636</v>
      </c>
      <c r="G113" s="7">
        <f aca="true" t="shared" si="12" ref="G113:G123">F113/E113*100</f>
        <v>0.9205517520878866</v>
      </c>
      <c r="H113" s="2">
        <f>31546+809+673</f>
        <v>33028</v>
      </c>
      <c r="I113" s="2">
        <v>0</v>
      </c>
      <c r="J113" s="7">
        <f t="shared" si="9"/>
        <v>0</v>
      </c>
      <c r="K113" s="9">
        <f t="shared" si="11"/>
        <v>526524</v>
      </c>
      <c r="L113" s="9">
        <f t="shared" si="11"/>
        <v>11815</v>
      </c>
      <c r="M113" s="7">
        <f t="shared" si="10"/>
        <v>2.243962288518662</v>
      </c>
    </row>
    <row r="114" spans="1:13" ht="12.75">
      <c r="A114" s="6" t="s">
        <v>116</v>
      </c>
      <c r="B114" s="2">
        <f>714541+96+123+243</f>
        <v>715003</v>
      </c>
      <c r="C114" s="8">
        <f>12435</f>
        <v>12435</v>
      </c>
      <c r="D114" s="7">
        <f t="shared" si="8"/>
        <v>1.7391535420131103</v>
      </c>
      <c r="E114" s="2">
        <f>40298+100830+13464+12163</f>
        <v>166755</v>
      </c>
      <c r="F114" s="2">
        <f>508+43+32</f>
        <v>583</v>
      </c>
      <c r="G114" s="7">
        <f t="shared" si="12"/>
        <v>0.34961470420677043</v>
      </c>
      <c r="H114" s="2">
        <f>30463</f>
        <v>30463</v>
      </c>
      <c r="I114" s="2">
        <v>31</v>
      </c>
      <c r="J114" s="7">
        <f t="shared" si="9"/>
        <v>0.10176279420936875</v>
      </c>
      <c r="K114" s="9">
        <f t="shared" si="11"/>
        <v>912221</v>
      </c>
      <c r="L114" s="9">
        <f t="shared" si="11"/>
        <v>13049</v>
      </c>
      <c r="M114" s="7">
        <f t="shared" si="10"/>
        <v>1.4304647667615633</v>
      </c>
    </row>
    <row r="115" spans="1:13" ht="12.75">
      <c r="A115" s="6" t="s">
        <v>117</v>
      </c>
      <c r="B115" s="2">
        <f>324673+69+39</f>
        <v>324781</v>
      </c>
      <c r="C115" s="2">
        <f>1870</f>
        <v>1870</v>
      </c>
      <c r="D115" s="7">
        <f t="shared" si="8"/>
        <v>0.5757725975349544</v>
      </c>
      <c r="E115" s="2">
        <f>13291+2176+687</f>
        <v>16154</v>
      </c>
      <c r="F115" s="2">
        <f>482+35</f>
        <v>517</v>
      </c>
      <c r="G115" s="7">
        <f t="shared" si="12"/>
        <v>3.200445710040857</v>
      </c>
      <c r="H115" s="2">
        <f>3741+8+1356</f>
        <v>5105</v>
      </c>
      <c r="I115" s="2">
        <f>0</f>
        <v>0</v>
      </c>
      <c r="J115" s="7">
        <f t="shared" si="9"/>
        <v>0</v>
      </c>
      <c r="K115" s="9">
        <f t="shared" si="11"/>
        <v>346040</v>
      </c>
      <c r="L115" s="9">
        <f t="shared" si="11"/>
        <v>2387</v>
      </c>
      <c r="M115" s="7">
        <f t="shared" si="10"/>
        <v>0.6898046468616346</v>
      </c>
    </row>
    <row r="116" spans="1:13" ht="12.75">
      <c r="A116" s="6" t="s">
        <v>118</v>
      </c>
      <c r="B116" s="8">
        <f>515014+64+25387+197</f>
        <v>540662</v>
      </c>
      <c r="C116" s="2">
        <f>10690</f>
        <v>10690</v>
      </c>
      <c r="D116" s="7">
        <f t="shared" si="8"/>
        <v>1.977205721874295</v>
      </c>
      <c r="E116" s="2">
        <f>239360+60276+46852+958</f>
        <v>347446</v>
      </c>
      <c r="F116" s="2">
        <f>142+12723+63+23</f>
        <v>12951</v>
      </c>
      <c r="G116" s="7">
        <f t="shared" si="12"/>
        <v>3.7274857100096126</v>
      </c>
      <c r="H116" s="2">
        <f>66185+2870+727</f>
        <v>69782</v>
      </c>
      <c r="I116" s="2">
        <v>14</v>
      </c>
      <c r="J116" s="7">
        <f t="shared" si="9"/>
        <v>0.02006248029577828</v>
      </c>
      <c r="K116" s="9">
        <f t="shared" si="11"/>
        <v>957890</v>
      </c>
      <c r="L116" s="9">
        <f t="shared" si="11"/>
        <v>23655</v>
      </c>
      <c r="M116" s="7">
        <f t="shared" si="10"/>
        <v>2.4694902337429143</v>
      </c>
    </row>
    <row r="117" spans="1:13" ht="12.75">
      <c r="A117" s="6" t="s">
        <v>119</v>
      </c>
      <c r="B117" s="2">
        <f>5964789+1184+7162+1207+5169+20775</f>
        <v>6000286</v>
      </c>
      <c r="C117" s="2">
        <f>62591+2534+53</f>
        <v>65178</v>
      </c>
      <c r="D117" s="7">
        <f t="shared" si="8"/>
        <v>1.0862482221680767</v>
      </c>
      <c r="E117" s="2">
        <f>1207539+11+600017+234351+3098+38+185</f>
        <v>2045239</v>
      </c>
      <c r="F117" s="2">
        <f>7048+4168+292</f>
        <v>11508</v>
      </c>
      <c r="G117" s="7">
        <f t="shared" si="12"/>
        <v>0.5626726265243328</v>
      </c>
      <c r="H117" s="2">
        <f>972003+120038+3488</f>
        <v>1095529</v>
      </c>
      <c r="I117" s="2">
        <f>684</f>
        <v>684</v>
      </c>
      <c r="J117" s="7">
        <f t="shared" si="9"/>
        <v>0.06243559047729453</v>
      </c>
      <c r="K117" s="9">
        <f t="shared" si="11"/>
        <v>9141054</v>
      </c>
      <c r="L117" s="9">
        <f t="shared" si="11"/>
        <v>77370</v>
      </c>
      <c r="M117" s="7">
        <f t="shared" si="10"/>
        <v>0.8464013012066224</v>
      </c>
    </row>
    <row r="118" spans="1:13" ht="12.75">
      <c r="A118" s="6" t="s">
        <v>120</v>
      </c>
      <c r="B118" s="2">
        <f>500687+400+50+308</f>
        <v>501445</v>
      </c>
      <c r="C118" s="2">
        <f>7288</f>
        <v>7288</v>
      </c>
      <c r="D118" s="7">
        <f t="shared" si="8"/>
        <v>1.4533996749394251</v>
      </c>
      <c r="E118" s="2">
        <f>97454+79354+13337+1012</f>
        <v>191157</v>
      </c>
      <c r="F118" s="2">
        <f>144+49</f>
        <v>193</v>
      </c>
      <c r="G118" s="7">
        <f t="shared" si="12"/>
        <v>0.10096412896205738</v>
      </c>
      <c r="H118" s="2">
        <f>82018+262+1249</f>
        <v>83529</v>
      </c>
      <c r="I118" s="2">
        <f>0</f>
        <v>0</v>
      </c>
      <c r="J118" s="7">
        <f t="shared" si="9"/>
        <v>0</v>
      </c>
      <c r="K118" s="9">
        <f t="shared" si="11"/>
        <v>776131</v>
      </c>
      <c r="L118" s="9">
        <f t="shared" si="11"/>
        <v>7481</v>
      </c>
      <c r="M118" s="7">
        <f t="shared" si="10"/>
        <v>0.9638836742766363</v>
      </c>
    </row>
    <row r="119" spans="1:13" ht="12.75">
      <c r="A119" s="6" t="s">
        <v>121</v>
      </c>
      <c r="B119" s="2">
        <f>663374+175+380+2400</f>
        <v>666329</v>
      </c>
      <c r="C119" s="2">
        <f>10207</f>
        <v>10207</v>
      </c>
      <c r="D119" s="7">
        <f t="shared" si="8"/>
        <v>1.5318258698030554</v>
      </c>
      <c r="E119" s="2">
        <f>84822+54443+21832+503+184+4</f>
        <v>161788</v>
      </c>
      <c r="F119" s="2">
        <f>812+3+6</f>
        <v>821</v>
      </c>
      <c r="G119" s="7">
        <f t="shared" si="12"/>
        <v>0.5074541993225703</v>
      </c>
      <c r="H119" s="2">
        <f>32599+28+3030</f>
        <v>35657</v>
      </c>
      <c r="I119" s="2">
        <f>0</f>
        <v>0</v>
      </c>
      <c r="J119" s="7">
        <f t="shared" si="9"/>
        <v>0</v>
      </c>
      <c r="K119" s="9">
        <f t="shared" si="11"/>
        <v>863774</v>
      </c>
      <c r="L119" s="9">
        <f t="shared" si="11"/>
        <v>11028</v>
      </c>
      <c r="M119" s="7">
        <f t="shared" si="10"/>
        <v>1.2767228464853075</v>
      </c>
    </row>
    <row r="120" spans="1:13" ht="12.75">
      <c r="A120" s="6" t="s">
        <v>122</v>
      </c>
      <c r="B120" s="2">
        <f>407109+289+5369+370+972</f>
        <v>414109</v>
      </c>
      <c r="C120" s="2">
        <f>18396</f>
        <v>18396</v>
      </c>
      <c r="D120" s="7">
        <f t="shared" si="8"/>
        <v>4.442308667524734</v>
      </c>
      <c r="E120" s="2">
        <f>202836+33389+9751+1064+6</f>
        <v>247046</v>
      </c>
      <c r="F120" s="2">
        <f>19391+63</f>
        <v>19454</v>
      </c>
      <c r="G120" s="7">
        <f t="shared" si="12"/>
        <v>7.87464682690673</v>
      </c>
      <c r="H120" s="2">
        <f>19922+484+104</f>
        <v>20510</v>
      </c>
      <c r="I120" s="2">
        <f>49</f>
        <v>49</v>
      </c>
      <c r="J120" s="7">
        <f t="shared" si="9"/>
        <v>0.2389078498293515</v>
      </c>
      <c r="K120" s="9">
        <f t="shared" si="11"/>
        <v>681665</v>
      </c>
      <c r="L120" s="9">
        <f t="shared" si="11"/>
        <v>37899</v>
      </c>
      <c r="M120" s="7">
        <f t="shared" si="10"/>
        <v>5.559769094789963</v>
      </c>
    </row>
    <row r="121" spans="1:13" ht="12.75">
      <c r="A121" s="6" t="s">
        <v>123</v>
      </c>
      <c r="B121" s="2">
        <f>1039206+40310+1792+765</f>
        <v>1082073</v>
      </c>
      <c r="C121" s="2">
        <v>73268</v>
      </c>
      <c r="D121" s="7">
        <f t="shared" si="8"/>
        <v>6.771077367238624</v>
      </c>
      <c r="E121" s="2">
        <f>217316+871+56838+38014+63</f>
        <v>313102</v>
      </c>
      <c r="F121" s="2">
        <f>3315+179+243</f>
        <v>3737</v>
      </c>
      <c r="G121" s="7">
        <f t="shared" si="12"/>
        <v>1.1935407630740142</v>
      </c>
      <c r="H121" s="2">
        <f>78470+493+552</f>
        <v>79515</v>
      </c>
      <c r="I121" s="2">
        <f>855</f>
        <v>855</v>
      </c>
      <c r="J121" s="7">
        <f t="shared" si="9"/>
        <v>1.0752688172043012</v>
      </c>
      <c r="K121" s="9">
        <f t="shared" si="11"/>
        <v>1474690</v>
      </c>
      <c r="L121" s="9">
        <f t="shared" si="11"/>
        <v>77860</v>
      </c>
      <c r="M121" s="7">
        <f t="shared" si="10"/>
        <v>5.27975371094942</v>
      </c>
    </row>
    <row r="122" spans="1:13" ht="12.75">
      <c r="A122" s="6" t="s">
        <v>124</v>
      </c>
      <c r="B122" s="8">
        <f>161486+6540</f>
        <v>168026</v>
      </c>
      <c r="C122" s="2">
        <f>9941</f>
        <v>9941</v>
      </c>
      <c r="D122" s="7">
        <f t="shared" si="8"/>
        <v>5.916346279742421</v>
      </c>
      <c r="E122" s="2">
        <f>13807+1111+4166</f>
        <v>19084</v>
      </c>
      <c r="F122" s="2">
        <f>48+199+17</f>
        <v>264</v>
      </c>
      <c r="G122" s="7">
        <f t="shared" si="12"/>
        <v>1.3833577866275415</v>
      </c>
      <c r="H122" s="2">
        <f>2674</f>
        <v>2674</v>
      </c>
      <c r="I122" s="2">
        <v>112</v>
      </c>
      <c r="J122" s="7">
        <f t="shared" si="9"/>
        <v>4.18848167539267</v>
      </c>
      <c r="K122" s="9">
        <f t="shared" si="11"/>
        <v>189784</v>
      </c>
      <c r="L122" s="9">
        <f t="shared" si="11"/>
        <v>10317</v>
      </c>
      <c r="M122" s="7">
        <f t="shared" si="10"/>
        <v>5.436180078404924</v>
      </c>
    </row>
    <row r="123" spans="1:13" ht="12.75">
      <c r="A123" s="6" t="s">
        <v>125</v>
      </c>
      <c r="B123" s="2">
        <f>2122135+538</f>
        <v>2122673</v>
      </c>
      <c r="C123" s="2">
        <v>12475</v>
      </c>
      <c r="D123" s="7">
        <f t="shared" si="8"/>
        <v>0.5877023922196212</v>
      </c>
      <c r="E123" s="2">
        <f>153036+209954+31078+510+4+1970</f>
        <v>396552</v>
      </c>
      <c r="F123" s="2">
        <f>377+52+105</f>
        <v>534</v>
      </c>
      <c r="G123" s="7">
        <f t="shared" si="12"/>
        <v>0.1346607758881559</v>
      </c>
      <c r="H123" s="2">
        <f>212361+2650+4</f>
        <v>215015</v>
      </c>
      <c r="I123" s="2">
        <f>173</f>
        <v>173</v>
      </c>
      <c r="J123" s="7">
        <f t="shared" si="9"/>
        <v>0.08045950282538428</v>
      </c>
      <c r="K123" s="9">
        <f t="shared" si="11"/>
        <v>2734240</v>
      </c>
      <c r="L123" s="9">
        <f t="shared" si="11"/>
        <v>13182</v>
      </c>
      <c r="M123" s="7">
        <f t="shared" si="10"/>
        <v>0.4821083738077126</v>
      </c>
    </row>
    <row r="124" spans="1:13" ht="13.5" thickBot="1">
      <c r="A124" s="12"/>
      <c r="B124" s="13"/>
      <c r="C124" s="13"/>
      <c r="D124" s="14"/>
      <c r="E124" s="13"/>
      <c r="F124" s="13"/>
      <c r="G124" s="14"/>
      <c r="H124" s="13"/>
      <c r="I124" s="13"/>
      <c r="J124" s="14"/>
      <c r="K124" s="15"/>
      <c r="L124" s="15"/>
      <c r="M124" s="14"/>
    </row>
    <row r="125" spans="1:13" ht="13.5" thickTop="1">
      <c r="A125" s="1" t="s">
        <v>126</v>
      </c>
      <c r="B125" s="2">
        <f>SUM(B4:B123)</f>
        <v>233404644.77</v>
      </c>
      <c r="C125" s="2">
        <f>SUM(C4:C123)</f>
        <v>3525237</v>
      </c>
      <c r="D125" s="7">
        <f>C125/B125*100</f>
        <v>1.5103542620044321</v>
      </c>
      <c r="E125" s="2">
        <f>SUM(E4:E123)</f>
        <v>68058827.56</v>
      </c>
      <c r="F125" s="2">
        <f>SUM(F4:F123)</f>
        <v>659146</v>
      </c>
      <c r="G125" s="7">
        <f>F125/E125*100</f>
        <v>0.9684944975270156</v>
      </c>
      <c r="H125" s="2">
        <f>SUM(H4:H123)</f>
        <v>24633011</v>
      </c>
      <c r="I125" s="2">
        <f>SUM(I4:I123)</f>
        <v>208131</v>
      </c>
      <c r="J125" s="7">
        <f>I125/H125*100</f>
        <v>0.8449271589250702</v>
      </c>
      <c r="K125" s="2">
        <f>SUM(K4:K123)</f>
        <v>326096483.33000004</v>
      </c>
      <c r="L125" s="2">
        <f>SUM(L4:L123)</f>
        <v>4392514</v>
      </c>
      <c r="M125" s="7">
        <f>L125/K125*100</f>
        <v>1.3469982733775467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</dc:title>
  <dc:subject/>
  <dc:creator>rev0656</dc:creator>
  <cp:keywords/>
  <dc:description/>
  <cp:lastModifiedBy>rev0760</cp:lastModifiedBy>
  <dcterms:created xsi:type="dcterms:W3CDTF">2006-10-26T15:50:38Z</dcterms:created>
  <dcterms:modified xsi:type="dcterms:W3CDTF">2008-02-11T21:44:12Z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